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FF\Desktop\"/>
    </mc:Choice>
  </mc:AlternateContent>
  <xr:revisionPtr revIDLastSave="0" documentId="13_ncr:1_{06A2855A-6B1A-4A29-864A-3DEF189CEA14}" xr6:coauthVersionLast="47" xr6:coauthVersionMax="47" xr10:uidLastSave="{00000000-0000-0000-0000-000000000000}"/>
  <bookViews>
    <workbookView xWindow="-120" yWindow="-120" windowWidth="38640" windowHeight="21120" xr2:uid="{00000000-000D-0000-FFFF-FFFF00000000}"/>
  </bookViews>
  <sheets>
    <sheet name="Standard" sheetId="2" r:id="rId1"/>
  </sheets>
  <definedNames>
    <definedName name="_xlnm._FilterDatabase" localSheetId="0" hidden="1">Standard!$A$1:$H$60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0" i="2" l="1"/>
  <c r="H60" i="2"/>
  <c r="G59" i="2"/>
  <c r="H59" i="2"/>
  <c r="G58" i="2"/>
  <c r="H58" i="2"/>
  <c r="G57" i="2"/>
  <c r="H57" i="2"/>
  <c r="G56" i="2"/>
  <c r="H56" i="2"/>
  <c r="G55" i="2"/>
  <c r="H55" i="2"/>
  <c r="G54" i="2"/>
  <c r="H54" i="2"/>
  <c r="G53" i="2"/>
  <c r="H53" i="2"/>
  <c r="G52" i="2"/>
  <c r="H52" i="2"/>
  <c r="G51" i="2"/>
  <c r="H51" i="2"/>
  <c r="G50" i="2"/>
  <c r="H50" i="2"/>
  <c r="G48" i="2"/>
  <c r="H48" i="2"/>
  <c r="G49" i="2"/>
  <c r="H49" i="2"/>
  <c r="G47" i="2"/>
  <c r="H47" i="2"/>
  <c r="G46" i="2"/>
  <c r="H46" i="2"/>
  <c r="G45" i="2"/>
  <c r="H45" i="2"/>
  <c r="G44" i="2"/>
  <c r="H44" i="2"/>
  <c r="G43" i="2"/>
  <c r="H43" i="2"/>
  <c r="G42" i="2"/>
  <c r="H42" i="2"/>
  <c r="G40" i="2"/>
  <c r="H40" i="2"/>
  <c r="G41" i="2"/>
  <c r="H41" i="2"/>
  <c r="G39" i="2"/>
  <c r="H39" i="2"/>
  <c r="G38" i="2"/>
  <c r="H38" i="2"/>
  <c r="G37" i="2"/>
  <c r="H37" i="2"/>
  <c r="G36" i="2"/>
  <c r="H36" i="2"/>
  <c r="G33" i="2"/>
  <c r="H33" i="2"/>
  <c r="G34" i="2"/>
  <c r="H34" i="2"/>
  <c r="G32" i="2"/>
  <c r="H32" i="2"/>
  <c r="G31" i="2"/>
  <c r="H31" i="2"/>
  <c r="G30" i="2"/>
  <c r="H30" i="2"/>
  <c r="G29" i="2"/>
  <c r="H29" i="2"/>
  <c r="G28" i="2"/>
  <c r="H28" i="2"/>
  <c r="G26" i="2"/>
  <c r="H26" i="2"/>
  <c r="G27" i="2"/>
  <c r="H27" i="2"/>
  <c r="G25" i="2"/>
  <c r="H25" i="2"/>
  <c r="G23" i="2"/>
  <c r="H23" i="2"/>
  <c r="G22" i="2"/>
  <c r="H22" i="2"/>
  <c r="G18" i="2"/>
  <c r="H18" i="2"/>
  <c r="G19" i="2"/>
  <c r="H19" i="2"/>
  <c r="G20" i="2"/>
  <c r="H20" i="2"/>
  <c r="G21" i="2"/>
  <c r="H21" i="2"/>
  <c r="G17" i="2"/>
  <c r="H17" i="2"/>
  <c r="G16" i="2"/>
  <c r="H16" i="2"/>
  <c r="G15" i="2"/>
  <c r="H15" i="2"/>
  <c r="G14" i="2"/>
  <c r="H14" i="2"/>
  <c r="G13" i="2"/>
  <c r="H13" i="2"/>
  <c r="G12" i="2"/>
  <c r="H12" i="2"/>
  <c r="G11" i="2"/>
  <c r="H11" i="2"/>
  <c r="G10" i="2"/>
  <c r="H10" i="2"/>
  <c r="G9" i="2"/>
  <c r="H9" i="2"/>
  <c r="G8" i="2"/>
  <c r="H8" i="2"/>
  <c r="G7" i="2"/>
  <c r="H7" i="2"/>
  <c r="G6" i="2"/>
  <c r="H6" i="2"/>
  <c r="G5" i="2"/>
  <c r="H5" i="2"/>
  <c r="G4" i="2"/>
  <c r="H4" i="2"/>
  <c r="G3" i="2"/>
  <c r="H3" i="2"/>
  <c r="G2" i="2"/>
  <c r="H2" i="2"/>
  <c r="G35" i="2"/>
  <c r="H35" i="2"/>
  <c r="G24" i="2"/>
  <c r="H24" i="2"/>
</calcChain>
</file>

<file path=xl/sharedStrings.xml><?xml version="1.0" encoding="utf-8"?>
<sst xmlns="http://schemas.openxmlformats.org/spreadsheetml/2006/main" count="303" uniqueCount="221">
  <si>
    <t>Detail zprávy v NewtonOne</t>
  </si>
  <si>
    <t>Originální internetový zdroj</t>
  </si>
  <si>
    <t>Týdeník Kroměřížska</t>
  </si>
  <si>
    <t>Tištěná média</t>
  </si>
  <si>
    <t>...degradovaných a ohrožených částech výzdoby.   Ametysty byly po léta skryté   Grotty v Kroměříži vyvolaly loni v létě pozornost, když historička umění Jana Zapletalová z Univerzity Palackého objevila, že jejich výzdobu tvoří stovky ametystů a dalších minerálů, skrytých desítky let pod vrstvami...</t>
  </si>
  <si>
    <t>jsemzolomouce.cz</t>
  </si>
  <si>
    <t>Online</t>
  </si>
  <si>
    <t>...Karel z Lichtensteinu-Castelcorna, je nechal vyzdobit stovkami ametystů a dalších minerálů. Přednáška přiblíží okolnosti této mimořádné umělecké realizace. Proč olomoucký biskup grotty nechává takto nákladně zdobit? Proč zrovna ametysty? Odkud kameny v baroku získávali a jak je transportovali? A...</t>
  </si>
  <si>
    <t>cirkev.cz</t>
  </si>
  <si>
    <t>...když historička umění Jana Zapletalová z Univerzity Palackého objevila, že jejich výzdobu tvoří stovky ametystů a dalších minerálů, skrytých desítky let pod vrstvami depozitů a pozdějších barevných nánosů. Výzkum potvrdil, že jde o unikát světového významu. „Ametysty jsou společně s dalšími...</t>
  </si>
  <si>
    <t>V rámci cyklu přednášek pro veřejnost „Věda v praxi“ přiblíží docentka Jana Zapletalová z Katedry dějin umění Filozofické fakulty Univerzity Palackého Olomouc ve středu 25. února 2026 od 17.00 v aule Filozofické fakulty (Křížkovského 10) ametystové grotty Arcibiskupského zámku v Kroměříži.  Umělé...</t>
  </si>
  <si>
    <t>propamatky.info</t>
  </si>
  <si>
    <t>...hodnoty. Unikátní objev učinila historička umění Jana Zapletalová z Univerzity Palackého v Olomouci během průzkumu štukové výzdoby v přízemí zámku.  Během vědecké práce zaměřené na bohaté štukové zdobení sal terren zámku si Jana Zapletalová všimla, že se jeskyně na některých místech neobvykle...</t>
  </si>
  <si>
    <t>universitas.cz</t>
  </si>
  <si>
    <t>...roku zaplavily česká média. Jana Zapletalová z katedry dějin umění Filozofické fakulty UP se tak na sklonku loňských prázdnin stala mediální hvězdou. K těmto zprávám však vedla dlouhá, rok a půl trvající cesta.  Psal se začátek ledna 2024, když se Janě Zapletalové ve svitu baterky zaleskla...</t>
  </si>
  <si>
    <t>Žena a život</t>
  </si>
  <si>
    <t>KULTURNÍ MOSTY   Loni v létě objevila vědkyně Jana Zapletalová v umělých jeskyních kroměřížského zámku stovky ametystů, které spoustu let unikaly pozornosti historiků.  Jak se jí to podařilo a co pro ni znamená práce v oblasti dějin umění?   * Vystudovala jste dějiny umění a latinskou filologii, což...</t>
  </si>
  <si>
    <t>...cz. Jedinečný objev stovek polodrahokamů nevyčíslitelné hodnoty, které v grottách Arcibiskupského zámku v Kroměříži odkryla vědkyně Jana Zapletalová z Univerzity Palackého v Olomouci, nově představují samostatné webové stránky www.ametystovegrotty.cz. Web přehledně představuje historii,...</t>
  </si>
  <si>
    <t>Náš region Olomoucko - Moravskoslezsko</t>
  </si>
  <si>
    <t>...Grotty ukrývají jedinečné bohatství stovek polodrahokamů nevyčíslitelné hodnoty, které zde objevila během průzkumu olomoucká historička umění Jana Zapletalová. Informace ke sbírce zveřejnilo arcibiskupství na novém webu, který zájemcům představuje historii, výzdobu i současný stav evropsky...</t>
  </si>
  <si>
    <t>Právo</t>
  </si>
  <si>
    <t>...když historička umění Jana Zapletalová z Univerzity Palackého v Olomouci objevila, že jejich výzdobu tvoří stovky ametystů a dalších minerálů, skrytých desítky let pod vrstvami depozitů a pozdějších barevných nánosů. Výzkum potvrdil, že jde o unikát světového významu.  	„Ametysty jsou společně s...</t>
  </si>
  <si>
    <t>krestandnes.cz</t>
  </si>
  <si>
    <t>...Grotty ukrývají jedinečné bohatství stovek polodrahokamů nevyčíslitelné hodnoty, které zde objevila během průzkumu olomoucká historička umění Jana Zapletalová. Informace ke sbírce zveřejnilo arcibiskupství na novém  webu , který zájemcům představuje historii, výzdobu i současný stav evropsky...</t>
  </si>
  <si>
    <t>Zlínský, Slovácký, Valašský, Kroměřížský deník</t>
  </si>
  <si>
    <t>...kamenů nemá v barokních umělých jeskyních obdoby.   Kroměříž – Je to naprostý unikát, vyčíslit penězi ho nelze, a ve světě nemá obdoby. Jenomže ametysty v grottách kroměřížského Arcibiskupského zámku zůstávají skryté.  	Od chvíle, kdy se znovu rozzáří, je dělí další odborný průzkum a taky mnoho...</t>
  </si>
  <si>
    <t>Od sousedů S   Kroměříž – Je to unikát, který nemá ve světě obdoby. Jenomže ametysty v grottách kroměřížského zámku zůstávají skryté. Od chvíle, kdy se znovu rozzáří, je dělí další odborný průzkum a taky mnoho hodin restaurátorské práce. To však znamená obrovské náklady, podle odhadů se bude jednat...</t>
  </si>
  <si>
    <t>Jedinečný objev stovek polodrahokamů nevyčíslitelné hodnoty, které v grottách Arcibiskupského zámku v Kroměříži odkryla vědkyně Jana Zapletalová z Univerzity Palackého v Olomouci, nově představují samostatné webové stránky www.ametystovegrotty.cz.  Web přehledně představuje historii, výzdobu i...</t>
  </si>
  <si>
    <t>ona.iDNES.cz</t>
  </si>
  <si>
    <t>V umělých jeskyních kroměřížského zámku objevila stovky ametystů, které spoustu let unikaly pozornosti historiků. Vědkyně Jana Zapletalová oživuje příběhy barokních umělců, kteří kdysi putovali z Itálie až do Čech, a ukazuje, že i v dějinách umění se dá zažít dobrodružství.  	Vystudovala jste dějiny...</t>
  </si>
  <si>
    <t>Ona DNES</t>
  </si>
  <si>
    <t>V umělých jeskyních kroměřížského zámku objevila stovky ametystů, které spoustu let unikaly pozornosti historiků. Vědkyně Jana Zapletalová oživuje příběhy barokních umělců, kteří kdysi putovali z Itálie až do Čech, a ukazuje, že i v dějinách umění se dá zažít dobrodružství.   * Vystudovala jste...</t>
  </si>
  <si>
    <t>Svět na dlani</t>
  </si>
  <si>
    <t>...V ní se návštěvníci seznámí se slony africkými.   HISTORIE   Umělé jeskyně Arcibiskupského zámku skrývaly vzácné ametysty   Nečekaného objevu se dočkala El vědkyně Jana Zapletalová z Univerzity Palackého v Olomouci. Stalo se tak v rámci vědecké práce, probíhající v trojici sousedních sal terren...</t>
  </si>
  <si>
    <t>kudyznudy.cz</t>
  </si>
  <si>
    <t>...zámek v Kroměříži skrývá stovky polodrahokamů nevyčíslitelné hodnoty. Unikátní objev učinila vědkyně Jana Zapletalová z Univerzity Palackého v Olomouci při zkoumání štukové výzdoby zámku. Ametysty tvoří výzdobu takzvaných grott neboli umělých jeskyní. Barokní umělé jeskyně Arcibiskupského zámku v...</t>
  </si>
  <si>
    <t>Respekt</t>
  </si>
  <si>
    <t>S Janou Zapletalovou o nejmocnějším muži Moravy, objevu skrytém 330 let pod nánosy prachu a o tom, jaké to je, když se práce historičky umění změní v detektivní pátrání Býval to nejmocnější muž na Moravě. Pak olomoucký biskup a kníže Karel z Lichtensteinu-Castelcorna, který v 17. století přinesl do...</t>
  </si>
  <si>
    <t>...odborném průzkumu zámeckých grott, tedy umělých jeskyní, objevila ametysty Jana Zapletalová, vedoucí katedry dějin umění Filozofické fakulty Univerzity Palackého v Olomouci (UP). Polodrahokamy jsou součástí výzdoby grott.  „Část ametystů byla v minulosti ze zámku zcizena. Kdy byly zbývající drahé...</t>
  </si>
  <si>
    <t>...terrenách arcibiskupského zámku v Kroměříži. I když většina ametystů, které ji zdobily, zmizela a zbylé kameny ukryli naši předkové pod vrstvu malty, máme díky technice možnost prohlédnout si dílo předků v jeho původní podobě.  	Nález ametystů je v rámci světových památek naprosto unikátní. Další...</t>
  </si>
  <si>
    <t>ČT 2</t>
  </si>
  <si>
    <t>Televize</t>
  </si>
  <si>
    <t>...teď jdeme na unikátní oběd.  mluvčí 10,  -------------------- Jdeme.  mluvčí 5,  -------------------- Na to, tak jdeme na to. S doc. Janou Zapletalovou, vedoucí katedry dějin umění Filozofické fakulty Univerzity Palackého. Probíráme krásný objev a Metistův grotě Kroměříži. A nás by zajímalo,...</t>
  </si>
  <si>
    <t>Naše Pravda</t>
  </si>
  <si>
    <t>Arcibiskupský zámek v Kroměříži ukrývá překvapivý poklad – stovky ametystů a dalších minerálů, které zdobí jeho barokní grotty, tedy umělé jeskyně vybudované na konci 17. století. Objev učinila historička umění Jana Zapletalová z Univerzity Palackého, když si při zkoumání štukové výzdoby všimla...</t>
  </si>
  <si>
    <t>zlin.cz</t>
  </si>
  <si>
    <t>...zámek v Kroměříži, kde vědci v umělých jeskyních objevili stovky polodrahokamů nevyčíslitelné hodnoty. Jedná se převážně o sbírku vzácných ametystů, které vynikají charakteristickým odstínem od světle fialové až po tmavě purpurovou barvu.  Arcibiskupský zámek v Kroměříži patří díky svému...</t>
  </si>
  <si>
    <t>region24.cz</t>
  </si>
  <si>
    <t>Restaurátorské práce na zámku v Kroměříži odhalily stovky ametystů, které byly po staletí ukryty pod vrstvou malty. Objev přináší nový pohled na historii zámku a pochází od Jany Zapletalové z Univerzity Palackého. Restaurování může trvat deset let.  Odborníci objevili na zámku v Kroměříži stovky...</t>
  </si>
  <si>
    <t>Katolický týdeník</t>
  </si>
  <si>
    <t>...- byly nalezeny stovky ametystů.  Objev učinila loni v lednu Jana Zapletalová, vedoucí katedry dějin umění Filozofické fakulty Univerzity Palackého. „Když jsem posvítila baterkou do potemnělého prostoru, všimla jsem si třpytivých odlesků. Tehdy mi došlo, že ametysty jsou téměř všude,“ popsala....</t>
  </si>
  <si>
    <t>...v Kroměříži odhalila historička Jana Zapletalová stovky ametystů a dalších minerálů. Výzdoba v takovém rozsahu je podle odborníků světově jedinečná. 	Grotty nechal vybudovat na konci 17. století olomoucký biskup Karel z Lichtensteinu-Castelcorna, přičemž ametysty umístěné zejména kolem sochy boha...</t>
  </si>
  <si>
    <t>...poškození finančních zájmů EU.   4   Nalezeny vzácné ametysty   Vrstva malty v přízemí kroměřížského zámku, který je památkou UNESCO, ukrývala stovky ametystů. Při odborném průzkumu zámeckých grott, tedy umělých jeskyní, je objevila Jana Zapletalová, vedoucí katedry dějin umění Filozofické fakulty...</t>
  </si>
  <si>
    <t>ČRo - olomouc.cz</t>
  </si>
  <si>
    <t>...objevili stovky ametystů starých více než 330 let. Polodrahokamy nevyčíslitelné hodnoty zakrývala malta. Podle odborníků mají mezinárodní význam.  „Třeba teď posvítíme na tenhle kámen, který je překrytý nějakou červenou barvou, a v některých místech probleskují ty krystalky ametystu,“ ukazuje na...</t>
  </si>
  <si>
    <t>cysnews.cz</t>
  </si>
  <si>
    <t>...polodrahokamů nevyčíslitelné hodnoty skrývá Arcibiskupský zámek v Kroměříži. Unikátní objev učinila vědkyně Jana Zapletalová z Univerzity Palackého v Olomouci (UP) při zkoumání štukové výzdoby zámku. Ametysty tvoří výzdobu takzvaných grott neboli umělých jeskyní.  Arcibiskupský zámek v Kroměříži...</t>
  </si>
  <si>
    <t>kromerizsky.denik.cz</t>
  </si>
  <si>
    <t>...terrenách arcibiskupského zámku v Kroměříži. I když většina ametystů, které ji zdobily, zmizela a zbylé kameny ukryli naši předkové pod vrstvu malty, máme díky technice možnost prohlédnout si dílo předků v jeho původní podobě.  Nález ametystů je v rámci světových památek naprosto unikátní. Další...</t>
  </si>
  <si>
    <t>Hanák</t>
  </si>
  <si>
    <t>...takzvaných grottách byly zjeveny stovky ametystů starých více než 330 let. Unikátní objev učinila vědkyně Jana Zapletalová z Univerzity Palackého při zkoumání štukové výzdoby zámku. Polodrahokamy nevyčíslitelné hodnoty zakrývala malta. Ametysty tvoří výzdobu takzvaných grott neboli umělých...</t>
  </si>
  <si>
    <t>Olomoucký deník</t>
  </si>
  <si>
    <t>...UNESCO, ukrývala stovky ametystů. Při odborném průzkumu zámeckých grott, tedy umělých jeskyní, je objevila Jana Zapletalová, vedoucí katedry dějin umění Filozofické fakulty Univerzity Palackého v Olomouci (UP). Polodrahokamy jsou součástí výzdoby grott. Část ametystů byla v minulosti ze zámku...</t>
  </si>
  <si>
    <t>regiotv1.cz</t>
  </si>
  <si>
    <t>...zámek v Kroměříži znovu překvapil. V jeho suterénních prostorách – tzv. grottách – byly po staletí skryty stovky ametystů nevyčíslitelné hodnoty. Unikátní objev učinila Jana Zapletalová, vedoucí katedry dějin umění Filozofické fakulty Univerzity Palackého v Olomouci, během průzkumu štukové výzdoby...</t>
  </si>
  <si>
    <t>tn.cz</t>
  </si>
  <si>
    <t>...v pořadu Do hloubky vedoucí katedry dějin umění Univerzity Palackého v Olomouci Jana Zapletalová. Byla to právě ona, kdo díky svitu baterky objevil vzácný nález v umělé jeskyni na zámku v Kroměříži - stovky ametystů, zasazených do stěn. Jaké to pro ni bylo a o jak mimořádný objev se jedná? ...</t>
  </si>
  <si>
    <t>ahaonline.cz</t>
  </si>
  <si>
    <t>...vědkyně Jana Zapletalová z Univerzity Palackého v Olomouci. Odhalila, že grotty v Arcibiskupském zámku v Kroměříži jsou posety ametysty a dalšími polodrahokamy.  Je to obrovský objev, který má nevyčíslitelnou kulturní hodnotu. „Použití různých druhů polodrahokamů, především ametystů, v takovém...</t>
  </si>
  <si>
    <t>Blesk</t>
  </si>
  <si>
    <t>Jen s baterkou ho odhalila vědkyně Jana Zapletalová  Arcibiskupský zámek v Kroměříži ukrývá Kro netušené tajemství   KROMĚŘÍŽ – Naprosto unikátní objev se podařil v Arcibiskupském zámku v Kroměříži, zapsaném na seznamu UNESCO. V umělých jeskyních našli stovky polodrahokamů. Dekorace jsou v tak...</t>
  </si>
  <si>
    <t>Mladá fronta DNES</t>
  </si>
  <si>
    <t>Zámek v Kroměříži ukrývá stovky ametystů.  V Evropě je to výjimečný objev.   Před třemi staletími vytvářely s pomocí vody a světel úchvatnou podívanou. Později je překryla malta a usazeniny a tuny ametystů ve dvou uměle vytvořených barokních jeskyních v přízemí Arcibiskupského zámku v Kroměříži...</t>
  </si>
  <si>
    <t>Aha!</t>
  </si>
  <si>
    <t>...světových měřítek  * Umělé jeskyně byly mj. poseté ametysty   KROMĚŘÍŽ – Zcela nečekaný objev učinila loni v zimě vědkyně Jana Zapletalová z Univerzity Palackého v Olomouci. Odhalila, že grotty v Arcibiskupském zámku v Kroměříži jsou posety ametysty a dalšími polodrahokamy.   Je to obrovský objev,...</t>
  </si>
  <si>
    <t>...nevyčíslitelné hodnoty skrývá Arcibiskupský zámek v Kroměříži. Unikátní objev učinila vědkyně Jana Zapletalová z Univerzity Palackého v Olomouci (UP) při zkoumání štukové výzdoby zámku. Ametysty tvoří výzdobu takzvaných grott neboli umělých jeskyní.  	Objevit stovky polodrahokamů o váze...</t>
  </si>
  <si>
    <t>TV Nova</t>
  </si>
  <si>
    <t>...Jsou součástí výzdoby dvou umělých jeskyní, tzv. grot postavených na konci sedmnáctého století.  Lucie Borhyová, moderátorka -------------------- Ametysty se nejspíš někdo pokusil skrýt, proto je přetřel maltou. Kdo a kdy, to odborníci netuší.  Petr Zapletal, redaktor --------------------...</t>
  </si>
  <si>
    <t>ct24.cz</t>
  </si>
  <si>
    <t>...za 3,45 milionu korun.  Stovky ametystů ukrývalo přízemí kroměřížského zámku  Vrstva malty v přízemí kroměřížského zámku, který je památkou UNESCO, ukrývala stovky ametystů. Při odborném průzkumu zámeckých grott, tedy umělých jeskyní, je objevila Jana Zapletalová, vedoucí katedry dějin umění...</t>
  </si>
  <si>
    <t>hanackenovinky.cz</t>
  </si>
  <si>
    <t>...nevyčíslitelné hodnoty skrývá Arcibiskupský zámek v Kroměříži. Unikátní objev učinila vědkyně Jana Zapletalová z Univerzity Palackého v Olomouci (UP) při zkoumání štukové výzdoby zámku. Ametysty tvoří výzdobu takzvaných grott neboli umělých jeskyní.  Arcibiskupský zámek v Kroměříži nechal na...</t>
  </si>
  <si>
    <t>...UNESCO, ukrývala stovky ametystů. Při odborném průzkumu zámeckých grott, tedy umělých jeskyní, je objevila Jana Zapletalová, vedoucí katedry dějin umění Filozofické fakulty Univerzity Palackého v Olomouci (UP).  Polodrahokamy jsou součástí výzdoby grott. Část ametystů byla v minulosti ze zámku...</t>
  </si>
  <si>
    <t>wired.cz</t>
  </si>
  <si>
    <t>...A v ten moment mi došlo, že kolem mě celá zadní část grotty je úplně plná těch ametystů, a zatočila se mi hlava,“ popsala výzkumnice Jana Zapletalová z Univerzity Palackého v Olomouci serveru České noviny.  Ametysty pocházejí z Květnice u Tišnova a historické záznamy dokládají, že byly na stavbu...</t>
  </si>
  <si>
    <t>ČT 24</t>
  </si>
  <si>
    <t>...dosud netušené tajemství, a to přímo tady v salateréně v prvním patře kroměřížského zámku. Co to je za tajemství? O tom si budu povídat s Janou Zapletalovou, vedoucí katedry dějin umění Filozofické fakulty Univerzity Palackého v Olomouci, dobrý den. Paní docentko, pochlubte se, k čemu jste tady...</t>
  </si>
  <si>
    <t>zpravy.iDNES.cz</t>
  </si>
  <si>
    <t>...umělých jeskyní zdobí tuny ametystů. Na konci 17. století je sem nechal přivést biskup Karel z Lichtensteinu-Castelcorna z kopce Květnice u Tišnova.  	Před třemi staletími vytvářely s pomocí vody a světel úchvatnou podívanou. Později je překryla malta a usazeniny a tuny ametystů ve dvou uměle...</t>
  </si>
  <si>
    <t>stream.cz - web</t>
  </si>
  <si>
    <t>...nevyčíslitelné hodnoty skrývá Arcibiskupský zámek v Kroměříži. Unikátní objev učinila vědkyně Jana Zapletalová z Univerzity Palackého v Olomouci (UPOL) při zkoumání štukové výzdoby zámku. Ametysty tvoří výzdobu takzvaných grott neboli umělých jeskyní. Video u článku je 3D sken ve vysokém...</t>
  </si>
  <si>
    <t>aktualne.cz</t>
  </si>
  <si>
    <t>...UNESCO, ukrývala stovky ametystů. Při odborném průzkumu zámeckých grott, tedy umělých jeskyní, je objevila Jana Zapletalová, vedoucí katedry dějin umění Filozofické fakulty Univerzity Palackého v Olomouci.  				Polodrahokamy jsou součástí výzdoby grott. Část ametystů byla v minulosti ze zámku...</t>
  </si>
  <si>
    <t>tv.iDNES.cz</t>
  </si>
  <si>
    <t>...Vědci z Univerzity Palackého v Olomouci při uměleckohistorickém průzkumu zjistili, že podlahu, stropy i stěny dvou umělých jeskyní pokrývají tuny ametystů. Na konci 17. století je sem nechal přivést biskup Karel z Lichtensteinu-Castelcorna z kopce Květnice u Tišnova.autor: Vojtěch Kmenta, Univerzita...</t>
  </si>
  <si>
    <t>novinykraje.cz</t>
  </si>
  <si>
    <t>...polodrahokamů nevyčíslitelné hodnoty skrývá Arcibiskupský zámek v Kroměříži. Unikátní objev učinila vědkyně Jana Zapletalová z Univerzity Palackého v Olomouci při zkoumání štukové výzdoby zámku. Ametysty tvoří výzdobu takzvaných grott neboli umělých jeskyní.  Foto: Jakub Čermák  KROMĚŘÍŽ – Stovky...</t>
  </si>
  <si>
    <t>novinky.cz</t>
  </si>
  <si>
    <t>hanackyvecernik.cz</t>
  </si>
  <si>
    <t>...UNESCO, ukrýval po staletí dosud neznámý poklad a světový unikát.  Vědkyně Jana Zapletalová z Univerzity Palackého v Olomouci při detailním zkoumání objevila v jeho barokních umělých jeskyních, tzv. grottách, stovky ametystů a dalších polodrahokamů.  	K objevu došlo začátkem letošního roku při...</t>
  </si>
  <si>
    <t>minutan.cz</t>
  </si>
  <si>
    <t>...UNESCO, ukrývala stovky ametystů.  Při odborném průzkumu zámeckých grott, tedy umělých jeskyní, je objevila Jana Zapletalová, vedoucí katedry dějin umění Filozofické fakulty Univerzity Palackého v Olomouci.  Polodrahokamy jsou součástí výzdoby grott. Část ametystů byla v minulosti ze zámku...</t>
  </si>
  <si>
    <t>zlatovna.cz</t>
  </si>
  <si>
    <t>Radio Prague International</t>
  </si>
  <si>
    <t>...ukrývala stovky ametystů  Vrstva malty v přízemí kroměřížského zámku, který je památkou UNESCO, ukrývala stovky ametystů. Při odborném průzkumu zámeckých grott, tedy umělých jeskyní, je objevila vedoucí katedry dějin umění Filozofické fakulty Univerzity Palackého v Olomouci Jana Zapletalová[...</t>
  </si>
  <si>
    <t>Týdeník Květy</t>
  </si>
  <si>
    <t>Stovky polodrahokamů nevyčíslitelné hodnoty byly objeveny v Arcibiskupském zámku v Kroměříži. Ametysty tvoří výzdobu takzvaných grott neboli umělých jeskyní. Ty se těšily mezi evropskou aristokracií velké popularitě.  	Díky vodním hříčkám a chladu sloužily k letnímu osvěžení i zábavě a zpravidla v...</t>
  </si>
  <si>
    <t>...polodrahokamů objevili odborníci v kroměřížském zámku. Jsou součástí výzdoby dvou umělých jeskyní, tzv. grott, postavených na konci 17. století. Ametysty se nejspíš někdo pokusil skrýt, proto je přetřel maltou. Kdo a kdy, to odborníci netuší.  Kroměřížský zámek patří mezi památky na seznamu UNESCO....</t>
  </si>
  <si>
    <t xml:space="preserve">Apollónova grotta je pod lešením, začala další fáze záchrany světového unikátu </t>
  </si>
  <si>
    <t>Ametystové grotty Arcibiskupského zámku v Kroměříži</t>
  </si>
  <si>
    <t>Apollónova grotta pod lešením: Začíná další fáze záchrany světového unikátu</t>
  </si>
  <si>
    <t>Věda v praxi: Ametystové grotty Arcibiskupského zámku v Kroměříži</t>
  </si>
  <si>
    <t>Objev polodrahokamů v barokní umělé jeskyni kroměřížského zámku</t>
  </si>
  <si>
    <t>„Už vím, jaké to je objevit poklad.“ Jana Zapletalová často boří mýty o práci historiků umění</t>
  </si>
  <si>
    <t xml:space="preserve">Baví mě vytvářet </t>
  </si>
  <si>
    <t xml:space="preserve">Světový unikát má svůj web i veřejnou sbírku </t>
  </si>
  <si>
    <t xml:space="preserve">Olomoucké arcibiskupství vyhlásilo sbírku na záchranu grott v Kroměříži </t>
  </si>
  <si>
    <t>Barokní jeskyně jsou plné drahých kamenů. Unikáty má spasit sbírka</t>
  </si>
  <si>
    <t>Olomoucké arcibiskupství vyhlásilo sbírku na záchranu grott v Kroměříži</t>
  </si>
  <si>
    <t>Kroměřížský poklad ukrytý v grottách má vlastní web. S obnovou pomůže sbírka</t>
  </si>
  <si>
    <t>Příběh kroměřížských ametystů i pohled do zákulisí shrnuje nový web</t>
  </si>
  <si>
    <t>Netrpíme hladem ani zimou a ostatní je vlastně luxus, říká vědkyně</t>
  </si>
  <si>
    <t xml:space="preserve">V šatníku mám I MONTÉRKY </t>
  </si>
  <si>
    <t>ČESKÝ OBJEKTIV</t>
  </si>
  <si>
    <t>Ametystové grotty na zámku v Kroměříži</t>
  </si>
  <si>
    <t xml:space="preserve">Z toho, co se najednou zalesklo v záři baterky, se mi rozbušilo srdce </t>
  </si>
  <si>
    <t>Vrstva malty v přízemí kroměřížského zámku ukrývala stovky ametystů</t>
  </si>
  <si>
    <t xml:space="preserve">Kroměřížské ametysty lze díky technice vidět, i když jsou ztracené </t>
  </si>
  <si>
    <t>Dobré ráno</t>
  </si>
  <si>
    <t>Poklad ukrytý v barokních jeskyních</t>
  </si>
  <si>
    <t>Umělé jeskyně Arcibiskupského zámku v Kroměříži skrývaly stovky ametystů nevyčíslitelné hodnoty</t>
  </si>
  <si>
    <t>Ametystový poklad odhalen v Kroměříži: Restaurace zámku přepisuje historii</t>
  </si>
  <si>
    <t>Jeskyně odhalily tajemství</t>
  </si>
  <si>
    <t>Zámek skrýval ametysty</t>
  </si>
  <si>
    <t xml:space="preserve">PĚT ČESKÝCH ZPRÁV </t>
  </si>
  <si>
    <t>Odborníci objevili na zámku v Kroměříži stovky polodrahokamů. Ametysty zakrývala malta</t>
  </si>
  <si>
    <t>Barokní umělé jeskyně kroměřížského zámku jsou plné polodrahokamů</t>
  </si>
  <si>
    <t>Kroměřížský poklad si můžeme prohlédnout, i když je ztracený. Díky technice</t>
  </si>
  <si>
    <t>VIDEO Kroměřížské ametysty můžete vidět, i když jsou ztracené. Díky technice</t>
  </si>
  <si>
    <t>Barokní umělé jeskyně kroměřížského zámku jsou plné POLODRAHOKAMŮ, objevila vědkyně z Univerzity Palackého</t>
  </si>
  <si>
    <t>Tajemství kroměřížského zámku odhaleno: Grotty ukrývaly stovky ametystů</t>
  </si>
  <si>
    <t>Stěny osázené polodrahokamy odhalil náhodný svit baterky. Vyrazilo mi to dech, říká Zapletalová</t>
  </si>
  <si>
    <t>Unikátní objev v Kroměříži: Stovky ametystů pod maltou!</t>
  </si>
  <si>
    <t xml:space="preserve">Jeskyně zářící polodrahokamy </t>
  </si>
  <si>
    <t xml:space="preserve">Grotty plné polodrahokamů </t>
  </si>
  <si>
    <t xml:space="preserve">Grotty jsou plné polodrahokamů </t>
  </si>
  <si>
    <t>Šok v Kroměříži: Jeskyně je osázená polodrahokamy</t>
  </si>
  <si>
    <t>Stovky polodrahokamů objevili odborníci v kroměřížském zámku</t>
  </si>
  <si>
    <t>SOUHRN: Zásadní události úterý 19. srpna</t>
  </si>
  <si>
    <t>Jeskyně kroměřížského zámku jsou plné polodrahokamů, objevila vědkyně z Univerzity Palackého</t>
  </si>
  <si>
    <t>Malta na kroměřížském zámku skrývala stovky ametystů</t>
  </si>
  <si>
    <t>Odpolední vysílání</t>
  </si>
  <si>
    <t>Unikátní objev. Barokní jeskyně zámku v Kroměříži zdobí stovky polodrahokamů</t>
  </si>
  <si>
    <t>Světový objev v umělé jeskyni kroměřížského zámku. Je plná polodrahokamů</t>
  </si>
  <si>
    <t>Poklad v Kroměříži. Pod omítkou zámku se skrývaly stovky ametystů</t>
  </si>
  <si>
    <t>Vědci objevili stovky ametystů v jeskyních Arcibiskupského zámku v Kroměříži</t>
  </si>
  <si>
    <t>OBRAZEM: Jeskyně kroměřížského zámku skrývají stovky polodrahokamů, zjistila vědkyně</t>
  </si>
  <si>
    <t>Barokní jeskyně zámku zdobí stovky ametystů SKRYTÝ POKLAD KROMĚŘÍŽE Barokní jeskyně zámku zdobí stovky ametystů</t>
  </si>
  <si>
    <t>Vrstva malty v přízemí kroměřížského zámku, který je památkou UNESCO, ukrývala stovky ametystů</t>
  </si>
  <si>
    <t>Radio Prague International - 19.8.2025</t>
  </si>
  <si>
    <t xml:space="preserve">Kroměřížský zámek ukrýval poklad </t>
  </si>
  <si>
    <t>V kroměřížském zámku objevili poklad. Pečlivě ukrytý mohl být i dlouhá staletí</t>
  </si>
  <si>
    <t xml:space="preserve">Apollo's grotto is under scaffolding, the next phase of saving the world's unique has begun </t>
  </si>
  <si>
    <t>Amethyst grottoes of the Archbishop's Chateau in Kroměříž</t>
  </si>
  <si>
    <t>Apollo's grotto under scaffolding: The next phase of saving a world-unique</t>
  </si>
  <si>
    <t>Science in Practice: Amethyst Grottoes of the Archbishop's Chateau in Kroměříž</t>
  </si>
  <si>
    <t>Discovery of semi-precious stones in the Baroque artificial cave of the Kroměříž Castle</t>
  </si>
  <si>
    <t>"I already know what it's like to discover a treasure." Jana Zapletalová often debunks myths about the work of art historians</t>
  </si>
  <si>
    <t xml:space="preserve">I enjoy creating </t>
  </si>
  <si>
    <t xml:space="preserve">The world's unique has its own website and public collection </t>
  </si>
  <si>
    <t xml:space="preserve">The Olomouc Archdiocese has announced a collection to save the grottoes in Kroměříž </t>
  </si>
  <si>
    <t>Baroque caves are full of precious stones. A collection is to save unique items</t>
  </si>
  <si>
    <t>The Olomouc Archdiocese has announced a collection to save the grottoes in Kroměříž</t>
  </si>
  <si>
    <t>The Kroměříž treasure hidden in the grottoes has its own website. A collection will help with the restoration</t>
  </si>
  <si>
    <t>The story of the Kroměříž amethysts and a look behind the scenes is summarized by a new website</t>
  </si>
  <si>
    <t>We don't suffer from hunger or cold, and the rest is actually a luxury, says the scientist</t>
  </si>
  <si>
    <t xml:space="preserve">I ALSO HAVE OVERALLS IN MY WARDROBE </t>
  </si>
  <si>
    <t>CZECH LENS</t>
  </si>
  <si>
    <t>Amethyst grottoes at the castle in Kroměříž</t>
  </si>
  <si>
    <t xml:space="preserve">What suddenly glistened in the glow of the flashlight made my heart beat faster </t>
  </si>
  <si>
    <t>A layer of mortar on the ground floor of the Kroměříž castle hid hundreds of amethysts</t>
  </si>
  <si>
    <t xml:space="preserve">Thanks to technology, Kroměříž amethysts can be seen even if they are lost </t>
  </si>
  <si>
    <t>Good morning</t>
  </si>
  <si>
    <t>Treasure hidden in Baroque caves</t>
  </si>
  <si>
    <t>The artificial caves of the Archbishop's Castle in Kroměříž hid hundreds of amethysts of incalculable value</t>
  </si>
  <si>
    <t>Amethyst treasure unveiled in Kroměříž: The restoration of the castle rewrites history</t>
  </si>
  <si>
    <t>Caves revealed secrets</t>
  </si>
  <si>
    <t>The castle hid amethysts</t>
  </si>
  <si>
    <t xml:space="preserve">FIVE CZECH NEWS </t>
  </si>
  <si>
    <t>Experts have discovered hundreds of semi-precious stones at the castle in Kroměříž. The amethysts were covered with mortar</t>
  </si>
  <si>
    <t>The Baroque artificial caves of the Kroměříž castle are full of semi-precious stones</t>
  </si>
  <si>
    <t>We can see the treasure of Kroměříž, even if it is lost. Thanks to the technology</t>
  </si>
  <si>
    <t>VIDEO You can see the Kroměříž amethysts even if they are lost. Thanks to the technology</t>
  </si>
  <si>
    <t>Baroque artificial caves of Kroměříž Castle are full of SEMI-PRECIOUS STONES, discovered by a scientist from Palacký University</t>
  </si>
  <si>
    <t>The secret of the Kroměříž castle revealed: The grottoes hid hundreds of amethysts</t>
  </si>
  <si>
    <t>The walls set with semi-precious stones were revealed by the random glow of a flashlight. It took my breath away, says Zapletalová</t>
  </si>
  <si>
    <t>A unique discovery in Kroměříž: Hundreds of amethysts under the mortar!</t>
  </si>
  <si>
    <t xml:space="preserve">A cave shining with semi-precious stones </t>
  </si>
  <si>
    <t xml:space="preserve">Grottos full of semi-precious stones </t>
  </si>
  <si>
    <t xml:space="preserve">The grottoes are full of semi-precious stones </t>
  </si>
  <si>
    <t>Shock in Kroměříž: The cave is planted with semi-precious stones</t>
  </si>
  <si>
    <t>Hundreds of semi-precious stones were discovered by experts in the Kroměříž castle</t>
  </si>
  <si>
    <t>SUMMARY: Major events Tuesday, August 19</t>
  </si>
  <si>
    <t>The caves of the Kroměříž castle are full of semi-precious stones, discovered by a scientist from Palacký University</t>
  </si>
  <si>
    <t>The mortar at the Kroměříž castle hid hundreds of amethysts</t>
  </si>
  <si>
    <t>Afternoon broadcast</t>
  </si>
  <si>
    <t>A unique discovery. The Baroque cave of the castle in Kroměříž is decorated with hundreds of semi-precious stones</t>
  </si>
  <si>
    <t>A world discovery in the artificial cave of the Kroměříž castle. It's full of semi-precious stones</t>
  </si>
  <si>
    <t>Treasure in Kroměříž. Hundreds of amethysts were hidden under the plaster of the castle</t>
  </si>
  <si>
    <t>Scientists have discovered hundreds of amethysts in the caves of the Archbishop's Castle in Kroměříž</t>
  </si>
  <si>
    <t>IN PICTURES: The caves of the Kroměříž castle hide hundreds of semi-precious stones, a scientist found out</t>
  </si>
  <si>
    <t>The Baroque cave of the castle is decorated with hundreds of amethysts HIDDEN TREASURE OF KROMĚŘÍŽ The Baroque cave of the castle is decorated with hundreds of amethysts</t>
  </si>
  <si>
    <t>A layer of mortar on the ground floor of the Kroměříž castle, which is a UNESCO World Heritage Site, hid hundreds of amethysts</t>
  </si>
  <si>
    <t xml:space="preserve">The Kroměříž castle hid a treasure </t>
  </si>
  <si>
    <t>They discovered a treasure in the Kroměříž castle. It could have been carefully hidden for many centuries</t>
  </si>
  <si>
    <t>Name (EN)</t>
  </si>
  <si>
    <t>Date of publication</t>
  </si>
  <si>
    <t>Název (CZ)</t>
  </si>
  <si>
    <t>Typ média (Type)</t>
  </si>
  <si>
    <t>Zdroj (SOURCE)</t>
  </si>
  <si>
    <t>Anotace (Abstract)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</si>
</sst>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
  </numFmts>
  <fonts count="6" x14ac:knownFonts="1">
    <font>
      <sz val="11"/>
      <color rgb="FF000000"/>
      <name val="Calibri"/>
      <family val="2"/>
    </font>
    <font>
      <sz val="11"/>
      <color rgb="FF000000"/>
      <name val="Arial"/>
      <family val="2"/>
    </font>
    <font>
      <b/>
      <sz val="11"/>
      <color rgb="FFFFFFFF"/>
      <name val="Arial"/>
      <family val="2"/>
    </font>
    <font>
      <sz val="11"/>
      <color rgb="FF000000"/>
      <name val="Arial"/>
      <family val="2"/>
    </font>
    <font>
      <sz val="11"/>
      <color rgb="FF000000"/>
      <name val="Arial"/>
      <family val="2"/>
      <charset val="238"/>
    </font>
    <font>
      <b/>
      <sz val="11"/>
      <color rgb="FFFFFFFF"/>
      <name val="Arial"/>
      <family val="2"/>
      <charset val="238"/>
    </font>
  </fonts>
  <fills count="4">
    <fill>
      <patternFill patternType="none"/>
    </fill>
    <fill>
      <patternFill patternType="gray125"/>
    </fill>
    <fill>
      <patternFill patternType="solid">
        <fgColor rgb="FF239C97"/>
      </patternFill>
    </fill>
    <fill>
      <patternFill patternType="solid">
        <fgColor rgb="FF33CCCC"/>
        <bgColor indexed="64"/>
      </patternFill>
    </fill>
  </fills>
  <borders count="1">
    <border>
      <left/>
      <right/>
      <top/>
      <bottom/>
      <diagonal/>
    </border>
  </borders>
  <cellStyleXfs count="1">
    <xf numFmtId="0" fontId="0" fillId="0" borderId="0" applyBorder="0"/>
  </cellStyleXfs>
  <cellXfs count="9">
    <xf numFmtId="0" fontId="0" fillId="0" borderId="0" xfId="0"/>
    <xf numFmtId="0" fontId="1" fillId="0" borderId="0" xfId="0" applyFont="1"/>
    <xf numFmtId="0" fontId="2" fillId="2" borderId="0" xfId="0" applyFont="1" applyFill="1"/>
    <xf numFmtId="0" fontId="3" fillId="0" borderId="0" xfId="0" applyFont="1"/>
    <xf numFmtId="164" fontId="3" fillId="0" borderId="0" xfId="0" applyNumberFormat="1" applyFont="1"/>
    <xf numFmtId="0" fontId="4" fillId="0" borderId="0" xfId="0" applyFont="1"/>
    <xf numFmtId="0" fontId="5" fillId="2" borderId="0" xfId="0" applyFont="1" applyFill="1"/>
    <xf numFmtId="0" fontId="5" fillId="3" borderId="0" xfId="0" applyFont="1" applyFill="1" applyAlignment="1">
      <alignment vertical="center" wrapText="1"/>
    </xf>
    <xf numFmtId="0" fontId="4"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zoomScale="175" zoomScaleNormal="175" workbookViewId="0">
      <selection activeCell="B14" sqref="B14"/>
    </sheetView>
  </sheetViews>
  <sheetFormatPr defaultRowHeight="14.25" x14ac:dyDescent="0.2"/>
  <cols>
    <col min="1" max="1" width="20" style="1" customWidth="1"/>
    <col min="2" max="3" width="118.85546875" style="5" customWidth="1"/>
    <col min="4" max="4" width="35.140625" style="1" customWidth="1"/>
    <col min="5" max="5" width="22.7109375" style="1" customWidth="1"/>
    <col min="6" max="6" width="50.7109375" style="1" customWidth="1"/>
    <col min="7" max="7" width="57.5703125" style="1" customWidth="1"/>
    <col min="8" max="8" width="37.5703125" style="1" customWidth="1"/>
    <col min="9" max="9" width="9.140625" style="1" customWidth="1"/>
    <col min="10" max="16384" width="9.140625" style="1"/>
  </cols>
  <sheetData>
    <row r="1" spans="1:8" ht="15" x14ac:dyDescent="0.25">
      <c r="A1" s="2" t="s">
        <v>216</v>
      </c>
      <c r="B1" s="7" t="s">
        <v>215</v>
      </c>
      <c r="C1" s="6" t="s">
        <v>217</v>
      </c>
      <c r="D1" s="2" t="s">
        <v>219</v>
      </c>
      <c r="E1" s="2" t="s">
        <v>218</v>
      </c>
      <c r="F1" s="2" t="s">
        <v>220</v>
      </c>
      <c r="G1" s="2" t="s">
        <v>0</v>
      </c>
      <c r="H1" s="2" t="s">
        <v>1</v>
      </c>
    </row>
    <row r="2" spans="1:8" x14ac:dyDescent="0.2">
      <c r="A2" s="4">
        <v>45888</v>
      </c>
      <c r="B2" s="8" t="s">
        <v>159</v>
      </c>
      <c r="C2" s="5" t="s">
        <v>159</v>
      </c>
      <c r="D2" s="3" t="s">
        <v>103</v>
      </c>
      <c r="E2" s="3" t="s">
        <v>6</v>
      </c>
      <c r="F2" s="3" t="s">
        <v>104</v>
      </c>
      <c r="G2" s="3" t="str">
        <f>HYPERLINK("https://app.newtonmedia.eu/cs/monitoring/OP-24-0857/5bb25fa7-79d9-46df-9a0a-975f8b01f74f/search/7702740/articles/569378680")</f>
        <v>https://app.newtonmedia.eu/cs/monitoring/OP-24-0857/5bb25fa7-79d9-46df-9a0a-975f8b01f74f/search/7702740/articles/569378680</v>
      </c>
      <c r="H2" s="3" t="str">
        <f>HYPERLINK("")</f>
        <v/>
      </c>
    </row>
    <row r="3" spans="1:8" x14ac:dyDescent="0.2">
      <c r="A3" s="4">
        <v>45888.512303240699</v>
      </c>
      <c r="B3" s="8" t="s">
        <v>180</v>
      </c>
      <c r="C3" s="5" t="s">
        <v>126</v>
      </c>
      <c r="D3" s="3" t="s">
        <v>102</v>
      </c>
      <c r="E3" s="3" t="s">
        <v>6</v>
      </c>
      <c r="F3" s="3" t="s">
        <v>62</v>
      </c>
      <c r="G3" s="3" t="str">
        <f>HYPERLINK("https://app.newtonmedia.eu/cs/monitoring/OP-24-0857/5bb25fa7-79d9-46df-9a0a-975f8b01f74f/search/7702740/articles/569696074")</f>
        <v>https://app.newtonmedia.eu/cs/monitoring/OP-24-0857/5bb25fa7-79d9-46df-9a0a-975f8b01f74f/search/7702740/articles/569696074</v>
      </c>
      <c r="H3" s="3" t="str">
        <f>HYPERLINK("https://zlatovna.cz/zpravy/kultura/vrstvamaltyvprizemikromerizskeho.fxgq")</f>
        <v>https://zlatovna.cz/zpravy/kultura/vrstvamaltyvprizemikromerizskeho.fxgq</v>
      </c>
    </row>
    <row r="4" spans="1:8" ht="28.5" x14ac:dyDescent="0.2">
      <c r="A4" s="4">
        <v>45888.515023148102</v>
      </c>
      <c r="B4" s="8" t="s">
        <v>212</v>
      </c>
      <c r="C4" s="5" t="s">
        <v>158</v>
      </c>
      <c r="D4" s="3" t="s">
        <v>100</v>
      </c>
      <c r="E4" s="3" t="s">
        <v>6</v>
      </c>
      <c r="F4" s="3" t="s">
        <v>101</v>
      </c>
      <c r="G4" s="3" t="str">
        <f>HYPERLINK("https://app.newtonmedia.eu/cs/monitoring/OP-24-0857/5bb25fa7-79d9-46df-9a0a-975f8b01f74f/search/7702740/articles/569087922")</f>
        <v>https://app.newtonmedia.eu/cs/monitoring/OP-24-0857/5bb25fa7-79d9-46df-9a0a-975f8b01f74f/search/7702740/articles/569087922</v>
      </c>
      <c r="H4" s="3" t="str">
        <f>HYPERLINK("https://denikn.cz/minuta/1814295/")</f>
        <v>https://denikn.cz/minuta/1814295/</v>
      </c>
    </row>
    <row r="5" spans="1:8" ht="28.5" x14ac:dyDescent="0.2">
      <c r="A5" s="4">
        <v>45888.5472337963</v>
      </c>
      <c r="B5" s="8" t="s">
        <v>211</v>
      </c>
      <c r="C5" s="5" t="s">
        <v>157</v>
      </c>
      <c r="D5" s="3" t="s">
        <v>98</v>
      </c>
      <c r="E5" s="3" t="s">
        <v>6</v>
      </c>
      <c r="F5" s="3" t="s">
        <v>99</v>
      </c>
      <c r="G5" s="3" t="str">
        <f>HYPERLINK("https://app.newtonmedia.eu/cs/monitoring/OP-24-0857/5bb25fa7-79d9-46df-9a0a-975f8b01f74f/search/7702740/articles/569095182")</f>
        <v>https://app.newtonmedia.eu/cs/monitoring/OP-24-0857/5bb25fa7-79d9-46df-9a0a-975f8b01f74f/search/7702740/articles/569095182</v>
      </c>
      <c r="H5" s="3" t="str">
        <f>HYPERLINK("https://www.hanackyvecernik.cz/zpravy/barokni-jeskyne-zamku-zdobi-stovky-ametystu")</f>
        <v>https://www.hanackyvecernik.cz/zpravy/barokni-jeskyne-zamku-zdobi-stovky-ametystu</v>
      </c>
    </row>
    <row r="6" spans="1:8" x14ac:dyDescent="0.2">
      <c r="A6" s="4">
        <v>45888.597222222197</v>
      </c>
      <c r="B6" s="8" t="s">
        <v>207</v>
      </c>
      <c r="C6" s="5" t="s">
        <v>153</v>
      </c>
      <c r="D6" s="3" t="s">
        <v>97</v>
      </c>
      <c r="E6" s="3" t="s">
        <v>6</v>
      </c>
      <c r="F6" s="3" t="s">
        <v>90</v>
      </c>
      <c r="G6" s="3" t="str">
        <f>HYPERLINK("https://app.newtonmedia.eu/cs/monitoring/OP-24-0857/5bb25fa7-79d9-46df-9a0a-975f8b01f74f/search/7702740/articles/569112828")</f>
        <v>https://app.newtonmedia.eu/cs/monitoring/OP-24-0857/5bb25fa7-79d9-46df-9a0a-975f8b01f74f/search/7702740/articles/569112828</v>
      </c>
      <c r="H6" s="3" t="str">
        <f>HYPERLINK("https://www.novinky.cz/clanek/veda-skoly-svetovy-objev-v-umele-jeskyni-kromerizskeho-zamku-je-plna-polodrahokamu-40534899")</f>
        <v>https://www.novinky.cz/clanek/veda-skoly-svetovy-objev-v-umele-jeskyni-kromerizskeho-zamku-je-plna-polodrahokamu-40534899</v>
      </c>
    </row>
    <row r="7" spans="1:8" x14ac:dyDescent="0.2">
      <c r="A7" s="4">
        <v>45888.6240972222</v>
      </c>
      <c r="B7" s="8" t="s">
        <v>210</v>
      </c>
      <c r="C7" s="5" t="s">
        <v>156</v>
      </c>
      <c r="D7" s="3" t="s">
        <v>95</v>
      </c>
      <c r="E7" s="3" t="s">
        <v>6</v>
      </c>
      <c r="F7" s="3" t="s">
        <v>96</v>
      </c>
      <c r="G7" s="3" t="str">
        <f>HYPERLINK("https://app.newtonmedia.eu/cs/monitoring/OP-24-0857/5bb25fa7-79d9-46df-9a0a-975f8b01f74f/search/7702740/articles/569121771")</f>
        <v>https://app.newtonmedia.eu/cs/monitoring/OP-24-0857/5bb25fa7-79d9-46df-9a0a-975f8b01f74f/search/7702740/articles/569121771</v>
      </c>
      <c r="H7" s="3" t="str">
        <f>HYPERLINK("https://www.novinykraje.cz/blog/2025/08/19/obrazem-jeskyne-kromerizskeho-zamku-skryvaji-stovky-polodrahokamu-zjistila-vedkyne")</f>
        <v>https://www.novinykraje.cz/blog/2025/08/19/obrazem-jeskyne-kromerizskeho-zamku-skryvaji-stovky-polodrahokamu-zjistila-vedkyne</v>
      </c>
    </row>
    <row r="8" spans="1:8" x14ac:dyDescent="0.2">
      <c r="A8" s="4">
        <v>45888.636203703703</v>
      </c>
      <c r="B8" s="8" t="s">
        <v>209</v>
      </c>
      <c r="C8" s="5" t="s">
        <v>155</v>
      </c>
      <c r="D8" s="3" t="s">
        <v>93</v>
      </c>
      <c r="E8" s="3" t="s">
        <v>6</v>
      </c>
      <c r="F8" s="3" t="s">
        <v>94</v>
      </c>
      <c r="G8" s="3" t="str">
        <f>HYPERLINK("https://app.newtonmedia.eu/cs/monitoring/OP-24-0857/5bb25fa7-79d9-46df-9a0a-975f8b01f74f/search/7702740/articles/569638810")</f>
        <v>https://app.newtonmedia.eu/cs/monitoring/OP-24-0857/5bb25fa7-79d9-46df-9a0a-975f8b01f74f/search/7702740/articles/569638810</v>
      </c>
      <c r="H8" s="3" t="str">
        <f>HYPERLINK("https://tv.idnes.cz/domaci/vedci-objevili-stovky-ametystu-v-jeskynich-arcibiskupskeho-zamku-v-kromerizi.V250819_144031_idnestv_jda")</f>
        <v>https://tv.idnes.cz/domaci/vedci-objevili-stovky-ametystu-v-jeskynich-arcibiskupskeho-zamku-v-kromerizi.V250819_144031_idnestv_jda</v>
      </c>
    </row>
    <row r="9" spans="1:8" x14ac:dyDescent="0.2">
      <c r="A9" s="4">
        <v>45888.638298611098</v>
      </c>
      <c r="B9" s="8" t="s">
        <v>208</v>
      </c>
      <c r="C9" s="5" t="s">
        <v>154</v>
      </c>
      <c r="D9" s="3" t="s">
        <v>91</v>
      </c>
      <c r="E9" s="3" t="s">
        <v>6</v>
      </c>
      <c r="F9" s="3" t="s">
        <v>92</v>
      </c>
      <c r="G9" s="3" t="str">
        <f>HYPERLINK("https://app.newtonmedia.eu/cs/monitoring/OP-24-0857/5bb25fa7-79d9-46df-9a0a-975f8b01f74f/search/7702740/articles/569123185")</f>
        <v>https://app.newtonmedia.eu/cs/monitoring/OP-24-0857/5bb25fa7-79d9-46df-9a0a-975f8b01f74f/search/7702740/articles/569123185</v>
      </c>
      <c r="H9" s="3" t="str">
        <f>HYPERLINK("https://magazin.aktualne.cz/lifestyle/kromerizsky-zamek-skryval-poklad-pod-vrstvou-malty-nasli-sto/r~20339cd27cf111f09af20cc47ab5f122/")</f>
        <v>https://magazin.aktualne.cz/lifestyle/kromerizsky-zamek-skryval-poklad-pod-vrstvou-malty-nasli-sto/r~20339cd27cf111f09af20cc47ab5f122/</v>
      </c>
    </row>
    <row r="10" spans="1:8" x14ac:dyDescent="0.2">
      <c r="A10" s="4">
        <v>45888.639432870397</v>
      </c>
      <c r="B10" s="8" t="s">
        <v>207</v>
      </c>
      <c r="C10" s="5" t="s">
        <v>153</v>
      </c>
      <c r="D10" s="3" t="s">
        <v>89</v>
      </c>
      <c r="E10" s="3" t="s">
        <v>6</v>
      </c>
      <c r="F10" s="3" t="s">
        <v>90</v>
      </c>
      <c r="G10" s="3" t="str">
        <f>HYPERLINK("https://app.newtonmedia.eu/cs/monitoring/OP-24-0857/5bb25fa7-79d9-46df-9a0a-975f8b01f74f/search/7702740/articles/569123689")</f>
        <v>https://app.newtonmedia.eu/cs/monitoring/OP-24-0857/5bb25fa7-79d9-46df-9a0a-975f8b01f74f/search/7702740/articles/569123689</v>
      </c>
      <c r="H10" s="3" t="str">
        <f>HYPERLINK("https://www.stream.cz/veda-a-skoly-9277/svetovy-objev-v-umele-jeskyni-kromerizskeho-zamku-je-plna-polodrahokamu-65339881")</f>
        <v>https://www.stream.cz/veda-a-skoly-9277/svetovy-objev-v-umele-jeskyni-kromerizskeho-zamku-je-plna-polodrahokamu-65339881</v>
      </c>
    </row>
    <row r="11" spans="1:8" x14ac:dyDescent="0.2">
      <c r="A11" s="4">
        <v>45888.640972222202</v>
      </c>
      <c r="B11" s="8" t="s">
        <v>206</v>
      </c>
      <c r="C11" s="5" t="s">
        <v>152</v>
      </c>
      <c r="D11" s="3" t="s">
        <v>87</v>
      </c>
      <c r="E11" s="3" t="s">
        <v>6</v>
      </c>
      <c r="F11" s="3" t="s">
        <v>88</v>
      </c>
      <c r="G11" s="3" t="str">
        <f>HYPERLINK("https://app.newtonmedia.eu/cs/monitoring/OP-24-0857/5bb25fa7-79d9-46df-9a0a-975f8b01f74f/search/7702740/articles/569138303")</f>
        <v>https://app.newtonmedia.eu/cs/monitoring/OP-24-0857/5bb25fa7-79d9-46df-9a0a-975f8b01f74f/search/7702740/articles/569138303</v>
      </c>
      <c r="H11" s="3" t="str">
        <f>HYPERLINK("https://www.idnes.cz/zlin/zpravy/kromeriz-arcibiskupsky-zamek-umela-jeskyne-grotta-ametyst-objev.A250819_145238_zlin-zpravy_epfoj")</f>
        <v>https://www.idnes.cz/zlin/zpravy/kromeriz-arcibiskupsky-zamek-umela-jeskyne-grotta-ametyst-objev.A250819_145238_zlin-zpravy_epfoj</v>
      </c>
    </row>
    <row r="12" spans="1:8" x14ac:dyDescent="0.2">
      <c r="A12" s="4">
        <v>45888.646736111099</v>
      </c>
      <c r="B12" s="8" t="s">
        <v>205</v>
      </c>
      <c r="C12" s="5" t="s">
        <v>151</v>
      </c>
      <c r="D12" s="3" t="s">
        <v>85</v>
      </c>
      <c r="E12" s="3" t="s">
        <v>41</v>
      </c>
      <c r="F12" s="3" t="s">
        <v>86</v>
      </c>
      <c r="G12" s="3" t="str">
        <f>HYPERLINK("https://app.newtonmedia.eu/cs/monitoring/OP-24-0857/5bb25fa7-79d9-46df-9a0a-975f8b01f74f/search/7702740/articles/569143789")</f>
        <v>https://app.newtonmedia.eu/cs/monitoring/OP-24-0857/5bb25fa7-79d9-46df-9a0a-975f8b01f74f/search/7702740/articles/569143789</v>
      </c>
      <c r="H12" s="3" t="str">
        <f>HYPERLINK("")</f>
        <v/>
      </c>
    </row>
    <row r="13" spans="1:8" x14ac:dyDescent="0.2">
      <c r="A13" s="4">
        <v>45888.681134259299</v>
      </c>
      <c r="B13" s="8" t="s">
        <v>204</v>
      </c>
      <c r="C13" s="5" t="s">
        <v>150</v>
      </c>
      <c r="D13" s="3" t="s">
        <v>83</v>
      </c>
      <c r="E13" s="3" t="s">
        <v>6</v>
      </c>
      <c r="F13" s="3" t="s">
        <v>84</v>
      </c>
      <c r="G13" s="3" t="str">
        <f>HYPERLINK("https://app.newtonmedia.eu/cs/monitoring/OP-24-0857/5bb25fa7-79d9-46df-9a0a-975f8b01f74f/search/7702740/articles/569147285")</f>
        <v>https://app.newtonmedia.eu/cs/monitoring/OP-24-0857/5bb25fa7-79d9-46df-9a0a-975f8b01f74f/search/7702740/articles/569147285</v>
      </c>
      <c r="H13" s="3" t="str">
        <f>HYPERLINK("https://www.wired.cz/news-beat/malta-na-kromerizskem-zamku-skryvala-stovky-ametystu")</f>
        <v>https://www.wired.cz/news-beat/malta-na-kromerizskem-zamku-skryvala-stovky-ametystu</v>
      </c>
    </row>
    <row r="14" spans="1:8" x14ac:dyDescent="0.2">
      <c r="A14" s="4">
        <v>45888.729861111096</v>
      </c>
      <c r="B14" s="8" t="s">
        <v>180</v>
      </c>
      <c r="C14" s="5" t="s">
        <v>126</v>
      </c>
      <c r="D14" s="3" t="s">
        <v>57</v>
      </c>
      <c r="E14" s="3" t="s">
        <v>6</v>
      </c>
      <c r="F14" s="3" t="s">
        <v>82</v>
      </c>
      <c r="G14" s="3" t="str">
        <f>HYPERLINK("https://app.newtonmedia.eu/cs/monitoring/OP-24-0857/5bb25fa7-79d9-46df-9a0a-975f8b01f74f/search/7702740/articles/569185614")</f>
        <v>https://app.newtonmedia.eu/cs/monitoring/OP-24-0857/5bb25fa7-79d9-46df-9a0a-975f8b01f74f/search/7702740/articles/569185614</v>
      </c>
      <c r="H14" s="3" t="str">
        <f>HYPERLINK("https://kromerizsky.denik.cz/zpravy_region/vrstva-malty-prizemi-kromeriz-zamek-ametyst-20250819.html")</f>
        <v>https://kromerizsky.denik.cz/zpravy_region/vrstva-malty-prizemi-kromeriz-zamek-ametyst-20250819.html</v>
      </c>
    </row>
    <row r="15" spans="1:8" x14ac:dyDescent="0.2">
      <c r="A15" s="4">
        <v>45888.761273148099</v>
      </c>
      <c r="B15" s="8" t="s">
        <v>203</v>
      </c>
      <c r="C15" s="5" t="s">
        <v>149</v>
      </c>
      <c r="D15" s="3" t="s">
        <v>80</v>
      </c>
      <c r="E15" s="3" t="s">
        <v>6</v>
      </c>
      <c r="F15" s="3" t="s">
        <v>81</v>
      </c>
      <c r="G15" s="3" t="str">
        <f>HYPERLINK("https://app.newtonmedia.eu/cs/monitoring/OP-24-0857/5bb25fa7-79d9-46df-9a0a-975f8b01f74f/search/7702740/articles/569190159")</f>
        <v>https://app.newtonmedia.eu/cs/monitoring/OP-24-0857/5bb25fa7-79d9-46df-9a0a-975f8b01f74f/search/7702740/articles/569190159</v>
      </c>
      <c r="H15" s="3" t="str">
        <f>HYPERLINK("https://hanackenovinky.cz/2025/08/jeskyne-kromerizskeho-zamku-jsou-plne-polodrahokamu-objevila-vedkyne-z-univerzity-palackeho")</f>
        <v>https://hanackenovinky.cz/2025/08/jeskyne-kromerizskeho-zamku-jsou-plne-polodrahokamu-objevila-vedkyne-z-univerzity-palackeho</v>
      </c>
    </row>
    <row r="16" spans="1:8" x14ac:dyDescent="0.2">
      <c r="A16" s="4">
        <v>45888.769444444399</v>
      </c>
      <c r="B16" s="8" t="s">
        <v>202</v>
      </c>
      <c r="C16" s="5" t="s">
        <v>148</v>
      </c>
      <c r="D16" s="3" t="s">
        <v>78</v>
      </c>
      <c r="E16" s="3" t="s">
        <v>6</v>
      </c>
      <c r="F16" s="3" t="s">
        <v>79</v>
      </c>
      <c r="G16" s="3" t="str">
        <f>HYPERLINK("https://app.newtonmedia.eu/cs/monitoring/OP-24-0857/5bb25fa7-79d9-46df-9a0a-975f8b01f74f/search/7702740/articles/569191701")</f>
        <v>https://app.newtonmedia.eu/cs/monitoring/OP-24-0857/5bb25fa7-79d9-46df-9a0a-975f8b01f74f/search/7702740/articles/569191701</v>
      </c>
      <c r="H16" s="3" t="str">
        <f>HYPERLINK("https://ct24.ceskatelevize.cz/clanek/media/souhrn-zasadni-udalosti-utery-19-srpna-364163")</f>
        <v>https://ct24.ceskatelevize.cz/clanek/media/souhrn-zasadni-udalosti-utery-19-srpna-364163</v>
      </c>
    </row>
    <row r="17" spans="1:8" x14ac:dyDescent="0.2">
      <c r="A17" s="4">
        <v>45888.826203703698</v>
      </c>
      <c r="B17" s="8" t="s">
        <v>201</v>
      </c>
      <c r="C17" s="5" t="s">
        <v>147</v>
      </c>
      <c r="D17" s="3" t="s">
        <v>76</v>
      </c>
      <c r="E17" s="3" t="s">
        <v>41</v>
      </c>
      <c r="F17" s="3" t="s">
        <v>77</v>
      </c>
      <c r="G17" s="3" t="str">
        <f>HYPERLINK("https://app.newtonmedia.eu/cs/monitoring/OP-24-0857/5bb25fa7-79d9-46df-9a0a-975f8b01f74f/search/7702740/articles/569247428")</f>
        <v>https://app.newtonmedia.eu/cs/monitoring/OP-24-0857/5bb25fa7-79d9-46df-9a0a-975f8b01f74f/search/7702740/articles/569247428</v>
      </c>
      <c r="H17" s="3" t="str">
        <f>HYPERLINK("")</f>
        <v/>
      </c>
    </row>
    <row r="18" spans="1:8" x14ac:dyDescent="0.2">
      <c r="A18" s="4">
        <v>45889</v>
      </c>
      <c r="B18" s="8" t="s">
        <v>197</v>
      </c>
      <c r="C18" s="5" t="s">
        <v>143</v>
      </c>
      <c r="D18" s="3" t="s">
        <v>69</v>
      </c>
      <c r="E18" s="3" t="s">
        <v>3</v>
      </c>
      <c r="F18" s="3" t="s">
        <v>70</v>
      </c>
      <c r="G18" s="3" t="str">
        <f>HYPERLINK("https://app.newtonmedia.eu/cs/monitoring/OP-24-0857/5bb25fa7-79d9-46df-9a0a-975f8b01f74f/search/7702740/articles/569404400")</f>
        <v>https://app.newtonmedia.eu/cs/monitoring/OP-24-0857/5bb25fa7-79d9-46df-9a0a-975f8b01f74f/search/7702740/articles/569404400</v>
      </c>
      <c r="H18" s="3" t="str">
        <f>HYPERLINK("")</f>
        <v/>
      </c>
    </row>
    <row r="19" spans="1:8" x14ac:dyDescent="0.2">
      <c r="A19" s="4">
        <v>45889</v>
      </c>
      <c r="B19" s="8" t="s">
        <v>198</v>
      </c>
      <c r="C19" s="5" t="s">
        <v>144</v>
      </c>
      <c r="D19" s="3" t="s">
        <v>71</v>
      </c>
      <c r="E19" s="3" t="s">
        <v>3</v>
      </c>
      <c r="F19" s="3" t="s">
        <v>72</v>
      </c>
      <c r="G19" s="3" t="str">
        <f>HYPERLINK("https://app.newtonmedia.eu/cs/monitoring/OP-24-0857/5bb25fa7-79d9-46df-9a0a-975f8b01f74f/search/7702740/articles/569392402")</f>
        <v>https://app.newtonmedia.eu/cs/monitoring/OP-24-0857/5bb25fa7-79d9-46df-9a0a-975f8b01f74f/search/7702740/articles/569392402</v>
      </c>
      <c r="H19" s="3" t="str">
        <f>HYPERLINK("")</f>
        <v/>
      </c>
    </row>
    <row r="20" spans="1:8" x14ac:dyDescent="0.2">
      <c r="A20" s="4">
        <v>45889</v>
      </c>
      <c r="B20" s="8" t="s">
        <v>199</v>
      </c>
      <c r="C20" s="5" t="s">
        <v>145</v>
      </c>
      <c r="D20" s="3" t="s">
        <v>73</v>
      </c>
      <c r="E20" s="3" t="s">
        <v>3</v>
      </c>
      <c r="F20" s="3" t="s">
        <v>74</v>
      </c>
      <c r="G20" s="3" t="str">
        <f>HYPERLINK("https://app.newtonmedia.eu/cs/monitoring/OP-24-0857/5bb25fa7-79d9-46df-9a0a-975f8b01f74f/search/7702740/articles/569392207")</f>
        <v>https://app.newtonmedia.eu/cs/monitoring/OP-24-0857/5bb25fa7-79d9-46df-9a0a-975f8b01f74f/search/7702740/articles/569392207</v>
      </c>
      <c r="H20" s="3" t="str">
        <f>HYPERLINK("")</f>
        <v/>
      </c>
    </row>
    <row r="21" spans="1:8" x14ac:dyDescent="0.2">
      <c r="A21" s="4">
        <v>45889</v>
      </c>
      <c r="B21" s="8" t="s">
        <v>200</v>
      </c>
      <c r="C21" s="5" t="s">
        <v>146</v>
      </c>
      <c r="D21" s="3" t="s">
        <v>20</v>
      </c>
      <c r="E21" s="3" t="s">
        <v>3</v>
      </c>
      <c r="F21" s="3" t="s">
        <v>75</v>
      </c>
      <c r="G21" s="3" t="str">
        <f>HYPERLINK("https://app.newtonmedia.eu/cs/monitoring/OP-24-0857/5bb25fa7-79d9-46df-9a0a-975f8b01f74f/search/7702740/articles/569385074")</f>
        <v>https://app.newtonmedia.eu/cs/monitoring/OP-24-0857/5bb25fa7-79d9-46df-9a0a-975f8b01f74f/search/7702740/articles/569385074</v>
      </c>
      <c r="H21" s="3" t="str">
        <f>HYPERLINK("")</f>
        <v/>
      </c>
    </row>
    <row r="22" spans="1:8" x14ac:dyDescent="0.2">
      <c r="A22" s="4">
        <v>45889.511111111096</v>
      </c>
      <c r="B22" s="8" t="s">
        <v>196</v>
      </c>
      <c r="C22" s="5" t="s">
        <v>142</v>
      </c>
      <c r="D22" s="3" t="s">
        <v>67</v>
      </c>
      <c r="E22" s="3" t="s">
        <v>6</v>
      </c>
      <c r="F22" s="3" t="s">
        <v>68</v>
      </c>
      <c r="G22" s="3" t="str">
        <f>HYPERLINK("https://app.newtonmedia.eu/cs/monitoring/OP-24-0857/5bb25fa7-79d9-46df-9a0a-975f8b01f74f/search/7702740/articles/569631374")</f>
        <v>https://app.newtonmedia.eu/cs/monitoring/OP-24-0857/5bb25fa7-79d9-46df-9a0a-975f8b01f74f/search/7702740/articles/569631374</v>
      </c>
      <c r="H22" s="3" t="str">
        <f>HYPERLINK("https://www.ahaonline.cz/clanek/226929/unikatni-objev-v-kromerizi-stovky-ametystu-pod-maltou")</f>
        <v>https://www.ahaonline.cz/clanek/226929/unikatni-objev-v-kromerizi-stovky-ametystu-pod-maltou</v>
      </c>
    </row>
    <row r="23" spans="1:8" ht="28.5" x14ac:dyDescent="0.2">
      <c r="A23" s="4">
        <v>45889.521099537</v>
      </c>
      <c r="B23" s="8" t="s">
        <v>195</v>
      </c>
      <c r="C23" s="5" t="s">
        <v>141</v>
      </c>
      <c r="D23" s="3" t="s">
        <v>65</v>
      </c>
      <c r="E23" s="3" t="s">
        <v>6</v>
      </c>
      <c r="F23" s="3" t="s">
        <v>66</v>
      </c>
      <c r="G23" s="3" t="str">
        <f>HYPERLINK("https://app.newtonmedia.eu/cs/monitoring/OP-24-0857/5bb25fa7-79d9-46df-9a0a-975f8b01f74f/search/7702740/articles/569631354")</f>
        <v>https://app.newtonmedia.eu/cs/monitoring/OP-24-0857/5bb25fa7-79d9-46df-9a0a-975f8b01f74f/search/7702740/articles/569631354</v>
      </c>
      <c r="H23" s="3" t="str">
        <f>HYPERLINK("https://tn.nova.cz/zpravodajstvi/clanek/627028-steny-osazene-polodrahokamy-odhalil-nahodny-svit-baterky-vyrazilo-mi-to-dech-rika-zapletalova")</f>
        <v>https://tn.nova.cz/zpravodajstvi/clanek/627028-steny-osazene-polodrahokamy-odhalil-nahodny-svit-baterky-vyrazilo-mi-to-dech-rika-zapletalova</v>
      </c>
    </row>
    <row r="24" spans="1:8" x14ac:dyDescent="0.2">
      <c r="A24" s="4">
        <v>45889.521099537</v>
      </c>
      <c r="B24" s="8" t="s">
        <v>214</v>
      </c>
      <c r="C24" s="5" t="s">
        <v>161</v>
      </c>
      <c r="D24" s="3" t="s">
        <v>65</v>
      </c>
      <c r="E24" s="3" t="s">
        <v>6</v>
      </c>
      <c r="F24" s="3" t="s">
        <v>107</v>
      </c>
      <c r="G24" s="3" t="str">
        <f>HYPERLINK("https://app.newtonmedia.eu/cs/monitoring/OP-24-0857/5bb25fa7-79d9-46df-9a0a-975f8b01f74f/search/7702740/articles/569277502")</f>
        <v>https://app.newtonmedia.eu/cs/monitoring/OP-24-0857/5bb25fa7-79d9-46df-9a0a-975f8b01f74f/search/7702740/articles/569277502</v>
      </c>
      <c r="H24" s="3" t="str">
        <f>HYPERLINK("https://tn.nova.cz/zpravodajstvi/clanek/626980-v-kromerizskem-zamku-objevili-poklad-peclive-ukryty-mohl-byt-i-dlouha-staleti")</f>
        <v>https://tn.nova.cz/zpravodajstvi/clanek/626980-v-kromerizskem-zamku-objevili-poklad-peclive-ukryty-mohl-byt-i-dlouha-staleti</v>
      </c>
    </row>
    <row r="25" spans="1:8" x14ac:dyDescent="0.2">
      <c r="A25" s="4">
        <v>45889.917858796303</v>
      </c>
      <c r="B25" s="8" t="s">
        <v>194</v>
      </c>
      <c r="C25" s="5" t="s">
        <v>140</v>
      </c>
      <c r="D25" s="3" t="s">
        <v>63</v>
      </c>
      <c r="E25" s="3" t="s">
        <v>6</v>
      </c>
      <c r="F25" s="3" t="s">
        <v>64</v>
      </c>
      <c r="G25" s="3" t="str">
        <f>HYPERLINK("https://app.newtonmedia.eu/cs/monitoring/OP-24-0857/5bb25fa7-79d9-46df-9a0a-975f8b01f74f/search/7702740/articles/569953719")</f>
        <v>https://app.newtonmedia.eu/cs/monitoring/OP-24-0857/5bb25fa7-79d9-46df-9a0a-975f8b01f74f/search/7702740/articles/569953719</v>
      </c>
      <c r="H25" s="3" t="str">
        <f>HYPERLINK("https://www.regiotv1.cz/m/tajemstvi_kromerizskeho_zamku_odhaleno_grotty_ukryvaly_stovky_ametystu")</f>
        <v>https://www.regiotv1.cz/m/tajemstvi_kromerizskeho_zamku_odhaleno_grotty_ukryvaly_stovky_ametystu</v>
      </c>
    </row>
    <row r="26" spans="1:8" ht="28.5" x14ac:dyDescent="0.2">
      <c r="A26" s="4">
        <v>45890</v>
      </c>
      <c r="B26" s="8" t="s">
        <v>193</v>
      </c>
      <c r="C26" s="5" t="s">
        <v>139</v>
      </c>
      <c r="D26" s="3" t="s">
        <v>59</v>
      </c>
      <c r="E26" s="3" t="s">
        <v>3</v>
      </c>
      <c r="F26" s="3" t="s">
        <v>60</v>
      </c>
      <c r="G26" s="3" t="str">
        <f>HYPERLINK("https://app.newtonmedia.eu/cs/monitoring/OP-24-0857/5bb25fa7-79d9-46df-9a0a-975f8b01f74f/search/7702740/articles/570513430")</f>
        <v>https://app.newtonmedia.eu/cs/monitoring/OP-24-0857/5bb25fa7-79d9-46df-9a0a-975f8b01f74f/search/7702740/articles/570513430</v>
      </c>
      <c r="H26" s="3" t="str">
        <f>HYPERLINK("")</f>
        <v/>
      </c>
    </row>
    <row r="27" spans="1:8" x14ac:dyDescent="0.2">
      <c r="A27" s="4">
        <v>45890</v>
      </c>
      <c r="B27" s="8" t="s">
        <v>180</v>
      </c>
      <c r="C27" s="5" t="s">
        <v>126</v>
      </c>
      <c r="D27" s="3" t="s">
        <v>61</v>
      </c>
      <c r="E27" s="3" t="s">
        <v>3</v>
      </c>
      <c r="F27" s="3" t="s">
        <v>62</v>
      </c>
      <c r="G27" s="3" t="str">
        <f>HYPERLINK("https://app.newtonmedia.eu/cs/monitoring/OP-24-0857/5bb25fa7-79d9-46df-9a0a-975f8b01f74f/search/7702740/articles/570054358")</f>
        <v>https://app.newtonmedia.eu/cs/monitoring/OP-24-0857/5bb25fa7-79d9-46df-9a0a-975f8b01f74f/search/7702740/articles/570054358</v>
      </c>
      <c r="H27" s="3" t="str">
        <f>HYPERLINK("")</f>
        <v/>
      </c>
    </row>
    <row r="28" spans="1:8" x14ac:dyDescent="0.2">
      <c r="A28" s="4">
        <v>45890.403472222199</v>
      </c>
      <c r="B28" s="8" t="s">
        <v>192</v>
      </c>
      <c r="C28" s="5" t="s">
        <v>138</v>
      </c>
      <c r="D28" s="3" t="s">
        <v>57</v>
      </c>
      <c r="E28" s="3" t="s">
        <v>6</v>
      </c>
      <c r="F28" s="3" t="s">
        <v>58</v>
      </c>
      <c r="G28" s="3" t="str">
        <f>HYPERLINK("https://app.newtonmedia.eu/cs/monitoring/OP-24-0857/5bb25fa7-79d9-46df-9a0a-975f8b01f74f/search/7702740/articles/570292594")</f>
        <v>https://app.newtonmedia.eu/cs/monitoring/OP-24-0857/5bb25fa7-79d9-46df-9a0a-975f8b01f74f/search/7702740/articles/570292594</v>
      </c>
      <c r="H28" s="3" t="str">
        <f>HYPERLINK("https://kromerizsky.denik.cz/zpravy_region/video-kromeriz-poklad-prohlidka-ztraceny-technika-zamek-ametyst-2.html")</f>
        <v>https://kromerizsky.denik.cz/zpravy_region/video-kromeriz-poklad-prohlidka-ztraceny-technika-zamek-ametyst-2.html</v>
      </c>
    </row>
    <row r="29" spans="1:8" x14ac:dyDescent="0.2">
      <c r="A29" s="4">
        <v>45891</v>
      </c>
      <c r="B29" s="8" t="s">
        <v>191</v>
      </c>
      <c r="C29" s="5" t="s">
        <v>137</v>
      </c>
      <c r="D29" s="3" t="s">
        <v>24</v>
      </c>
      <c r="E29" s="3" t="s">
        <v>3</v>
      </c>
      <c r="F29" s="3" t="s">
        <v>39</v>
      </c>
      <c r="G29" s="3" t="str">
        <f>HYPERLINK("https://app.newtonmedia.eu/cs/monitoring/OP-24-0857/5bb25fa7-79d9-46df-9a0a-975f8b01f74f/search/7702740/articles/570742135")</f>
        <v>https://app.newtonmedia.eu/cs/monitoring/OP-24-0857/5bb25fa7-79d9-46df-9a0a-975f8b01f74f/search/7702740/articles/570742135</v>
      </c>
      <c r="H29" s="3" t="str">
        <f>HYPERLINK("")</f>
        <v/>
      </c>
    </row>
    <row r="30" spans="1:8" x14ac:dyDescent="0.2">
      <c r="A30" s="4">
        <v>45891.702384259297</v>
      </c>
      <c r="B30" s="8" t="s">
        <v>190</v>
      </c>
      <c r="C30" s="5" t="s">
        <v>136</v>
      </c>
      <c r="D30" s="3" t="s">
        <v>55</v>
      </c>
      <c r="E30" s="3" t="s">
        <v>6</v>
      </c>
      <c r="F30" s="3" t="s">
        <v>56</v>
      </c>
      <c r="G30" s="3" t="str">
        <f>HYPERLINK("https://app.newtonmedia.eu/cs/monitoring/OP-24-0857/5bb25fa7-79d9-46df-9a0a-975f8b01f74f/search/7702740/articles/571421526")</f>
        <v>https://app.newtonmedia.eu/cs/monitoring/OP-24-0857/5bb25fa7-79d9-46df-9a0a-975f8b01f74f/search/7702740/articles/571421526</v>
      </c>
      <c r="H30" s="3" t="str">
        <f>HYPERLINK("https://www.cysnews.cz/ostatni/kraje/barokni-umele-jeskyne-kromerizskeho-zamku-jsou-plne-polodrahokamu/")</f>
        <v>https://www.cysnews.cz/ostatni/kraje/barokni-umele-jeskyne-kromerizskeho-zamku-jsou-plne-polodrahokamu/</v>
      </c>
    </row>
    <row r="31" spans="1:8" ht="28.5" x14ac:dyDescent="0.2">
      <c r="A31" s="4">
        <v>45892.395138888904</v>
      </c>
      <c r="B31" s="8" t="s">
        <v>189</v>
      </c>
      <c r="C31" s="5" t="s">
        <v>135</v>
      </c>
      <c r="D31" s="3" t="s">
        <v>53</v>
      </c>
      <c r="E31" s="3" t="s">
        <v>6</v>
      </c>
      <c r="F31" s="3" t="s">
        <v>54</v>
      </c>
      <c r="G31" s="3" t="str">
        <f>HYPERLINK("https://app.newtonmedia.eu/cs/monitoring/OP-24-0857/5bb25fa7-79d9-46df-9a0a-975f8b01f74f/search/7702740/articles/572295780")</f>
        <v>https://app.newtonmedia.eu/cs/monitoring/OP-24-0857/5bb25fa7-79d9-46df-9a0a-975f8b01f74f/search/7702740/articles/572295780</v>
      </c>
      <c r="H31" s="3" t="str">
        <f>HYPERLINK("http://olomouc.rozhlas.cz/odbornici-objevili-na-zamku-v-kromerizi-stovky-polodrahokamu-ametysty-zakryvala-9538711")</f>
        <v>http://olomouc.rozhlas.cz/odbornici-objevili-na-zamku-v-kromerizi-stovky-polodrahokamu-ametysty-zakryvala-9538711</v>
      </c>
    </row>
    <row r="32" spans="1:8" x14ac:dyDescent="0.2">
      <c r="A32" s="4">
        <v>45894</v>
      </c>
      <c r="B32" s="8" t="s">
        <v>188</v>
      </c>
      <c r="C32" s="5" t="s">
        <v>134</v>
      </c>
      <c r="D32" s="3" t="s">
        <v>36</v>
      </c>
      <c r="E32" s="3" t="s">
        <v>3</v>
      </c>
      <c r="F32" s="3" t="s">
        <v>52</v>
      </c>
      <c r="G32" s="3" t="str">
        <f>HYPERLINK("https://app.newtonmedia.eu/cs/monitoring/OP-24-0857/5bb25fa7-79d9-46df-9a0a-975f8b01f74f/search/7702740/articles/572799857")</f>
        <v>https://app.newtonmedia.eu/cs/monitoring/OP-24-0857/5bb25fa7-79d9-46df-9a0a-975f8b01f74f/search/7702740/articles/572799857</v>
      </c>
      <c r="H32" s="3" t="str">
        <f>HYPERLINK("")</f>
        <v/>
      </c>
    </row>
    <row r="33" spans="1:8" x14ac:dyDescent="0.2">
      <c r="A33" s="4">
        <v>45895</v>
      </c>
      <c r="B33" s="8" t="s">
        <v>186</v>
      </c>
      <c r="C33" s="5" t="s">
        <v>132</v>
      </c>
      <c r="D33" s="3" t="s">
        <v>49</v>
      </c>
      <c r="E33" s="3" t="s">
        <v>3</v>
      </c>
      <c r="F33" s="3" t="s">
        <v>50</v>
      </c>
      <c r="G33" s="3" t="str">
        <f>HYPERLINK("https://app.newtonmedia.eu/cs/monitoring/OP-24-0857/5bb25fa7-79d9-46df-9a0a-975f8b01f74f/search/7702740/articles/573192869")</f>
        <v>https://app.newtonmedia.eu/cs/monitoring/OP-24-0857/5bb25fa7-79d9-46df-9a0a-975f8b01f74f/search/7702740/articles/573192869</v>
      </c>
      <c r="H33" s="3" t="str">
        <f>HYPERLINK("")</f>
        <v/>
      </c>
    </row>
    <row r="34" spans="1:8" x14ac:dyDescent="0.2">
      <c r="A34" s="4">
        <v>45895</v>
      </c>
      <c r="B34" s="8" t="s">
        <v>187</v>
      </c>
      <c r="C34" s="5" t="s">
        <v>133</v>
      </c>
      <c r="D34" s="3" t="s">
        <v>49</v>
      </c>
      <c r="E34" s="3" t="s">
        <v>3</v>
      </c>
      <c r="F34" s="3" t="s">
        <v>51</v>
      </c>
      <c r="G34" s="3" t="str">
        <f>HYPERLINK("https://app.newtonmedia.eu/cs/monitoring/OP-24-0857/5bb25fa7-79d9-46df-9a0a-975f8b01f74f/search/7702740/articles/573192800")</f>
        <v>https://app.newtonmedia.eu/cs/monitoring/OP-24-0857/5bb25fa7-79d9-46df-9a0a-975f8b01f74f/search/7702740/articles/573192800</v>
      </c>
      <c r="H34" s="3" t="str">
        <f>HYPERLINK("")</f>
        <v/>
      </c>
    </row>
    <row r="35" spans="1:8" x14ac:dyDescent="0.2">
      <c r="A35" s="4">
        <v>45897</v>
      </c>
      <c r="B35" s="8" t="s">
        <v>213</v>
      </c>
      <c r="C35" s="5" t="s">
        <v>160</v>
      </c>
      <c r="D35" s="3" t="s">
        <v>105</v>
      </c>
      <c r="E35" s="3" t="s">
        <v>3</v>
      </c>
      <c r="F35" s="3" t="s">
        <v>106</v>
      </c>
      <c r="G35" s="3" t="str">
        <f>HYPERLINK("https://app.newtonmedia.eu/cs/monitoring/OP-24-0857/5bb25fa7-79d9-46df-9a0a-975f8b01f74f/search/7702740/articles/574206247")</f>
        <v>https://app.newtonmedia.eu/cs/monitoring/OP-24-0857/5bb25fa7-79d9-46df-9a0a-975f8b01f74f/search/7702740/articles/574206247</v>
      </c>
      <c r="H35" s="3" t="str">
        <f>HYPERLINK("")</f>
        <v/>
      </c>
    </row>
    <row r="36" spans="1:8" x14ac:dyDescent="0.2">
      <c r="A36" s="4">
        <v>45897.652187500003</v>
      </c>
      <c r="B36" s="8" t="s">
        <v>185</v>
      </c>
      <c r="C36" s="5" t="s">
        <v>131</v>
      </c>
      <c r="D36" s="3" t="s">
        <v>47</v>
      </c>
      <c r="E36" s="3" t="s">
        <v>6</v>
      </c>
      <c r="F36" s="3" t="s">
        <v>48</v>
      </c>
      <c r="G36" s="3" t="str">
        <f>HYPERLINK("https://app.newtonmedia.eu/cs/monitoring/OP-24-0857/5bb25fa7-79d9-46df-9a0a-975f8b01f74f/search/7702740/articles/574479833")</f>
        <v>https://app.newtonmedia.eu/cs/monitoring/OP-24-0857/5bb25fa7-79d9-46df-9a0a-975f8b01f74f/search/7702740/articles/574479833</v>
      </c>
      <c r="H36" s="3" t="str">
        <f>HYPERLINK("https://www.region24.cz/zpravodajstvi/ametystovy-poklad-odhalen-v-kromerizi-r-223366/")</f>
        <v>https://www.region24.cz/zpravodajstvi/ametystovy-poklad-odhalen-v-kromerizi-r-223366/</v>
      </c>
    </row>
    <row r="37" spans="1:8" x14ac:dyDescent="0.2">
      <c r="A37" s="4">
        <v>45898.643668981502</v>
      </c>
      <c r="B37" s="8" t="s">
        <v>184</v>
      </c>
      <c r="C37" s="5" t="s">
        <v>130</v>
      </c>
      <c r="D37" s="3" t="s">
        <v>45</v>
      </c>
      <c r="E37" s="3" t="s">
        <v>6</v>
      </c>
      <c r="F37" s="3" t="s">
        <v>46</v>
      </c>
      <c r="G37" s="3" t="str">
        <f>HYPERLINK("https://app.newtonmedia.eu/cs/monitoring/OP-24-0857/5bb25fa7-79d9-46df-9a0a-975f8b01f74f/search/7702740/articles/575270805")</f>
        <v>https://app.newtonmedia.eu/cs/monitoring/OP-24-0857/5bb25fa7-79d9-46df-9a0a-975f8b01f74f/search/7702740/articles/575270805</v>
      </c>
      <c r="H37" s="3" t="str">
        <f>HYPERLINK("https://zlin.cz/zpravy/umele-jeskyne-arcibiskupskeho-zamku-v-kromerizi-skryvaly-stovky-ametystu-nevycislitelne-hodnoty/")</f>
        <v>https://zlin.cz/zpravy/umele-jeskyne-arcibiskupskeho-zamku-v-kromerizi-skryvaly-stovky-ametystu-nevycislitelne-hodnoty/</v>
      </c>
    </row>
    <row r="38" spans="1:8" x14ac:dyDescent="0.2">
      <c r="A38" s="4">
        <v>45904</v>
      </c>
      <c r="B38" s="8" t="s">
        <v>183</v>
      </c>
      <c r="C38" s="5" t="s">
        <v>129</v>
      </c>
      <c r="D38" s="3" t="s">
        <v>43</v>
      </c>
      <c r="E38" s="3" t="s">
        <v>3</v>
      </c>
      <c r="F38" s="3" t="s">
        <v>44</v>
      </c>
      <c r="G38" s="3" t="str">
        <f>HYPERLINK("https://app.newtonmedia.eu/cs/monitoring/OP-24-0857/5bb25fa7-79d9-46df-9a0a-975f8b01f74f/search/7702740/articles/579674469")</f>
        <v>https://app.newtonmedia.eu/cs/monitoring/OP-24-0857/5bb25fa7-79d9-46df-9a0a-975f8b01f74f/search/7702740/articles/579674469</v>
      </c>
      <c r="H38" s="3" t="str">
        <f>HYPERLINK("")</f>
        <v/>
      </c>
    </row>
    <row r="39" spans="1:8" x14ac:dyDescent="0.2">
      <c r="A39" s="4">
        <v>45904.311261574097</v>
      </c>
      <c r="B39" s="8" t="s">
        <v>182</v>
      </c>
      <c r="C39" s="5" t="s">
        <v>128</v>
      </c>
      <c r="D39" s="3" t="s">
        <v>40</v>
      </c>
      <c r="E39" s="3" t="s">
        <v>41</v>
      </c>
      <c r="F39" s="3" t="s">
        <v>42</v>
      </c>
      <c r="G39" s="3" t="str">
        <f>HYPERLINK("https://app.newtonmedia.eu/cs/monitoring/OP-24-0857/5bb25fa7-79d9-46df-9a0a-975f8b01f74f/search/7702740/articles/579885370")</f>
        <v>https://app.newtonmedia.eu/cs/monitoring/OP-24-0857/5bb25fa7-79d9-46df-9a0a-975f8b01f74f/search/7702740/articles/579885370</v>
      </c>
      <c r="H39" s="3" t="str">
        <f>HYPERLINK("")</f>
        <v/>
      </c>
    </row>
    <row r="40" spans="1:8" x14ac:dyDescent="0.2">
      <c r="A40" s="4">
        <v>45906</v>
      </c>
      <c r="B40" s="8" t="s">
        <v>180</v>
      </c>
      <c r="C40" s="5" t="s">
        <v>126</v>
      </c>
      <c r="D40" s="3" t="s">
        <v>24</v>
      </c>
      <c r="E40" s="3" t="s">
        <v>3</v>
      </c>
      <c r="F40" s="3" t="s">
        <v>38</v>
      </c>
      <c r="G40" s="3" t="str">
        <f>HYPERLINK("https://app.newtonmedia.eu/cs/monitoring/OP-24-0857/5bb25fa7-79d9-46df-9a0a-975f8b01f74f/search/7702740/articles/582280408")</f>
        <v>https://app.newtonmedia.eu/cs/monitoring/OP-24-0857/5bb25fa7-79d9-46df-9a0a-975f8b01f74f/search/7702740/articles/582280408</v>
      </c>
      <c r="H40" s="3" t="str">
        <f>HYPERLINK("")</f>
        <v/>
      </c>
    </row>
    <row r="41" spans="1:8" x14ac:dyDescent="0.2">
      <c r="A41" s="4">
        <v>45906</v>
      </c>
      <c r="B41" s="8" t="s">
        <v>181</v>
      </c>
      <c r="C41" s="5" t="s">
        <v>127</v>
      </c>
      <c r="D41" s="3" t="s">
        <v>24</v>
      </c>
      <c r="E41" s="3" t="s">
        <v>3</v>
      </c>
      <c r="F41" s="3" t="s">
        <v>39</v>
      </c>
      <c r="G41" s="3" t="str">
        <f>HYPERLINK("https://app.newtonmedia.eu/cs/monitoring/OP-24-0857/5bb25fa7-79d9-46df-9a0a-975f8b01f74f/search/7702740/articles/582280394")</f>
        <v>https://app.newtonmedia.eu/cs/monitoring/OP-24-0857/5bb25fa7-79d9-46df-9a0a-975f8b01f74f/search/7702740/articles/582280394</v>
      </c>
      <c r="H41" s="3" t="str">
        <f>HYPERLINK("")</f>
        <v/>
      </c>
    </row>
    <row r="42" spans="1:8" x14ac:dyDescent="0.2">
      <c r="A42" s="4">
        <v>45908</v>
      </c>
      <c r="B42" s="8" t="s">
        <v>179</v>
      </c>
      <c r="C42" s="5" t="s">
        <v>125</v>
      </c>
      <c r="D42" s="3" t="s">
        <v>36</v>
      </c>
      <c r="E42" s="3" t="s">
        <v>3</v>
      </c>
      <c r="F42" s="3" t="s">
        <v>37</v>
      </c>
      <c r="G42" s="3" t="str">
        <f>HYPERLINK("https://app.newtonmedia.eu/cs/monitoring/OP-24-0857/5bb25fa7-79d9-46df-9a0a-975f8b01f74f/search/7702740/articles/582294223")</f>
        <v>https://app.newtonmedia.eu/cs/monitoring/OP-24-0857/5bb25fa7-79d9-46df-9a0a-975f8b01f74f/search/7702740/articles/582294223</v>
      </c>
      <c r="H42" s="3" t="str">
        <f>HYPERLINK("")</f>
        <v/>
      </c>
    </row>
    <row r="43" spans="1:8" x14ac:dyDescent="0.2">
      <c r="A43" s="4">
        <v>45915.998657407399</v>
      </c>
      <c r="B43" s="8" t="s">
        <v>178</v>
      </c>
      <c r="C43" s="5" t="s">
        <v>124</v>
      </c>
      <c r="D43" s="3" t="s">
        <v>34</v>
      </c>
      <c r="E43" s="3" t="s">
        <v>6</v>
      </c>
      <c r="F43" s="3" t="s">
        <v>35</v>
      </c>
      <c r="G43" s="3" t="str">
        <f>HYPERLINK("https://app.newtonmedia.eu/cs/monitoring/OP-24-0857/5bb25fa7-79d9-46df-9a0a-975f8b01f74f/search/7702740/articles/588728446")</f>
        <v>https://app.newtonmedia.eu/cs/monitoring/OP-24-0857/5bb25fa7-79d9-46df-9a0a-975f8b01f74f/search/7702740/articles/588728446</v>
      </c>
      <c r="H43" s="3" t="str">
        <f>HYPERLINK("https://www.kudyznudy.cz/aktivity/ametystove-grotty-na-zamku-v-kromerizi")</f>
        <v>https://www.kudyznudy.cz/aktivity/ametystove-grotty-na-zamku-v-kromerizi</v>
      </c>
    </row>
    <row r="44" spans="1:8" x14ac:dyDescent="0.2">
      <c r="A44" s="4">
        <v>45951</v>
      </c>
      <c r="B44" s="8" t="s">
        <v>177</v>
      </c>
      <c r="C44" s="5" t="s">
        <v>123</v>
      </c>
      <c r="D44" s="3" t="s">
        <v>32</v>
      </c>
      <c r="E44" s="3" t="s">
        <v>3</v>
      </c>
      <c r="F44" s="3" t="s">
        <v>33</v>
      </c>
      <c r="G44" s="3" t="str">
        <f>HYPERLINK("https://app.newtonmedia.eu/cs/monitoring/OP-24-0857/5bb25fa7-79d9-46df-9a0a-975f8b01f74f/search/7702740/articles/615674833")</f>
        <v>https://app.newtonmedia.eu/cs/monitoring/OP-24-0857/5bb25fa7-79d9-46df-9a0a-975f8b01f74f/search/7702740/articles/615674833</v>
      </c>
      <c r="H44" s="3" t="str">
        <f>HYPERLINK("")</f>
        <v/>
      </c>
    </row>
    <row r="45" spans="1:8" x14ac:dyDescent="0.2">
      <c r="A45" s="4">
        <v>45971</v>
      </c>
      <c r="B45" s="8" t="s">
        <v>176</v>
      </c>
      <c r="C45" s="5" t="s">
        <v>122</v>
      </c>
      <c r="D45" s="3" t="s">
        <v>30</v>
      </c>
      <c r="E45" s="3" t="s">
        <v>3</v>
      </c>
      <c r="F45" s="3" t="s">
        <v>31</v>
      </c>
      <c r="G45" s="3" t="str">
        <f>HYPERLINK("https://app.newtonmedia.eu/cs/monitoring/OP-24-0857/5bb25fa7-79d9-46df-9a0a-975f8b01f74f/search/7702740/articles/631210465")</f>
        <v>https://app.newtonmedia.eu/cs/monitoring/OP-24-0857/5bb25fa7-79d9-46df-9a0a-975f8b01f74f/search/7702740/articles/631210465</v>
      </c>
      <c r="H45" s="3" t="str">
        <f>HYPERLINK("")</f>
        <v/>
      </c>
    </row>
    <row r="46" spans="1:8" x14ac:dyDescent="0.2">
      <c r="A46" s="4">
        <v>45971.000694444403</v>
      </c>
      <c r="B46" s="8" t="s">
        <v>175</v>
      </c>
      <c r="C46" s="5" t="s">
        <v>121</v>
      </c>
      <c r="D46" s="3" t="s">
        <v>28</v>
      </c>
      <c r="E46" s="3" t="s">
        <v>6</v>
      </c>
      <c r="F46" s="3" t="s">
        <v>29</v>
      </c>
      <c r="G46" s="3" t="str">
        <f>HYPERLINK("https://app.newtonmedia.eu/cs/monitoring/OP-24-0857/5bb25fa7-79d9-46df-9a0a-975f8b01f74f/search/7702740/articles/631213288")</f>
        <v>https://app.newtonmedia.eu/cs/monitoring/OP-24-0857/5bb25fa7-79d9-46df-9a0a-975f8b01f74f/search/7702740/articles/631213288</v>
      </c>
      <c r="H46" s="3" t="str">
        <f>HYPERLINK("https://www.idnes.cz/onadnes/vztahy/vedkyne-historicka-rozhovor-baroko-dejiny-umeni-ona-dnes.A251106_142837_ona-vztahy_cerv")</f>
        <v>https://www.idnes.cz/onadnes/vztahy/vedkyne-historicka-rozhovor-baroko-dejiny-umeni-ona-dnes.A251106_142837_ona-vztahy_cerv</v>
      </c>
    </row>
    <row r="47" spans="1:8" x14ac:dyDescent="0.2">
      <c r="A47" s="4">
        <v>45979.601909722202</v>
      </c>
      <c r="B47" s="8" t="s">
        <v>174</v>
      </c>
      <c r="C47" s="5" t="s">
        <v>120</v>
      </c>
      <c r="D47" s="3" t="s">
        <v>8</v>
      </c>
      <c r="E47" s="3" t="s">
        <v>6</v>
      </c>
      <c r="F47" s="3" t="s">
        <v>27</v>
      </c>
      <c r="G47" s="3" t="str">
        <f>HYPERLINK("https://app.newtonmedia.eu/cs/monitoring/OP-24-0857/5bb25fa7-79d9-46df-9a0a-975f8b01f74f/search/7702740/articles/637935346")</f>
        <v>https://app.newtonmedia.eu/cs/monitoring/OP-24-0857/5bb25fa7-79d9-46df-9a0a-975f8b01f74f/search/7702740/articles/637935346</v>
      </c>
      <c r="H47" s="3" t="str">
        <f>HYPERLINK("https://www.cirkev.cz/pribeh-kromerizskych-ametystu-i-pohled-do-zakulisi-shrnuje-novy-web_63299")</f>
        <v>https://www.cirkev.cz/pribeh-kromerizskych-ametystu-i-pohled-do-zakulisi-shrnuje-novy-web_63299</v>
      </c>
    </row>
    <row r="48" spans="1:8" x14ac:dyDescent="0.2">
      <c r="A48" s="4">
        <v>45989</v>
      </c>
      <c r="B48" s="8" t="s">
        <v>173</v>
      </c>
      <c r="C48" s="5" t="s">
        <v>119</v>
      </c>
      <c r="D48" s="3" t="s">
        <v>24</v>
      </c>
      <c r="E48" s="3" t="s">
        <v>3</v>
      </c>
      <c r="F48" s="3" t="s">
        <v>25</v>
      </c>
      <c r="G48" s="3" t="str">
        <f>HYPERLINK("https://app.newtonmedia.eu/cs/monitoring/OP-24-0857/5bb25fa7-79d9-46df-9a0a-975f8b01f74f/search/7702740/articles/644769470")</f>
        <v>https://app.newtonmedia.eu/cs/monitoring/OP-24-0857/5bb25fa7-79d9-46df-9a0a-975f8b01f74f/search/7702740/articles/644769470</v>
      </c>
      <c r="H48" s="3" t="str">
        <f>HYPERLINK("")</f>
        <v/>
      </c>
    </row>
    <row r="49" spans="1:8" x14ac:dyDescent="0.2">
      <c r="A49" s="4">
        <v>45989</v>
      </c>
      <c r="B49" s="8" t="s">
        <v>173</v>
      </c>
      <c r="C49" s="5" t="s">
        <v>119</v>
      </c>
      <c r="D49" s="3" t="s">
        <v>24</v>
      </c>
      <c r="E49" s="3" t="s">
        <v>3</v>
      </c>
      <c r="F49" s="3" t="s">
        <v>26</v>
      </c>
      <c r="G49" s="3" t="str">
        <f>HYPERLINK("https://app.newtonmedia.eu/cs/monitoring/OP-24-0857/5bb25fa7-79d9-46df-9a0a-975f8b01f74f/search/7702740/articles/644769464")</f>
        <v>https://app.newtonmedia.eu/cs/monitoring/OP-24-0857/5bb25fa7-79d9-46df-9a0a-975f8b01f74f/search/7702740/articles/644769464</v>
      </c>
      <c r="H49" s="3" t="str">
        <f>HYPERLINK("")</f>
        <v/>
      </c>
    </row>
    <row r="50" spans="1:8" x14ac:dyDescent="0.2">
      <c r="A50" s="4">
        <v>45993.430162037002</v>
      </c>
      <c r="B50" s="8" t="s">
        <v>172</v>
      </c>
      <c r="C50" s="5" t="s">
        <v>118</v>
      </c>
      <c r="D50" s="3" t="s">
        <v>22</v>
      </c>
      <c r="E50" s="3" t="s">
        <v>6</v>
      </c>
      <c r="F50" s="3" t="s">
        <v>23</v>
      </c>
      <c r="G50" s="3" t="str">
        <f>HYPERLINK("https://app.newtonmedia.eu/cs/monitoring/OP-24-0857/5bb25fa7-79d9-46df-9a0a-975f8b01f74f/search/7702740/articles/648239839")</f>
        <v>https://app.newtonmedia.eu/cs/monitoring/OP-24-0857/5bb25fa7-79d9-46df-9a0a-975f8b01f74f/search/7702740/articles/648239839</v>
      </c>
      <c r="H50" s="3" t="str">
        <f>HYPERLINK("https://www.krestandnes.cz/olomoucke-arcibiskupstvi-vyhlasilo-sbirku-na-zachranu-grott-v-kromerizi/")</f>
        <v>https://www.krestandnes.cz/olomoucke-arcibiskupstvi-vyhlasilo-sbirku-na-zachranu-grott-v-kromerizi/</v>
      </c>
    </row>
    <row r="51" spans="1:8" x14ac:dyDescent="0.2">
      <c r="A51" s="4">
        <v>45994</v>
      </c>
      <c r="B51" s="8" t="s">
        <v>171</v>
      </c>
      <c r="C51" s="5" t="s">
        <v>117</v>
      </c>
      <c r="D51" s="3" t="s">
        <v>20</v>
      </c>
      <c r="E51" s="3" t="s">
        <v>3</v>
      </c>
      <c r="F51" s="3" t="s">
        <v>21</v>
      </c>
      <c r="G51" s="3" t="str">
        <f>HYPERLINK("https://app.newtonmedia.eu/cs/monitoring/OP-24-0857/5bb25fa7-79d9-46df-9a0a-975f8b01f74f/search/7702740/articles/648829846")</f>
        <v>https://app.newtonmedia.eu/cs/monitoring/OP-24-0857/5bb25fa7-79d9-46df-9a0a-975f8b01f74f/search/7702740/articles/648829846</v>
      </c>
      <c r="H51" s="3" t="str">
        <f>HYPERLINK("")</f>
        <v/>
      </c>
    </row>
    <row r="52" spans="1:8" x14ac:dyDescent="0.2">
      <c r="A52" s="4">
        <v>46002</v>
      </c>
      <c r="B52" s="8" t="s">
        <v>170</v>
      </c>
      <c r="C52" s="5" t="s">
        <v>116</v>
      </c>
      <c r="D52" s="3" t="s">
        <v>18</v>
      </c>
      <c r="E52" s="3" t="s">
        <v>3</v>
      </c>
      <c r="F52" s="3" t="s">
        <v>19</v>
      </c>
      <c r="G52" s="3" t="str">
        <f>HYPERLINK("https://app.newtonmedia.eu/cs/monitoring/OP-24-0857/5bb25fa7-79d9-46df-9a0a-975f8b01f74f/search/7702740/articles/655697589")</f>
        <v>https://app.newtonmedia.eu/cs/monitoring/OP-24-0857/5bb25fa7-79d9-46df-9a0a-975f8b01f74f/search/7702740/articles/655697589</v>
      </c>
      <c r="H52" s="3" t="str">
        <f>HYPERLINK("")</f>
        <v/>
      </c>
    </row>
    <row r="53" spans="1:8" x14ac:dyDescent="0.2">
      <c r="A53" s="4">
        <v>46035</v>
      </c>
      <c r="B53" s="8" t="s">
        <v>169</v>
      </c>
      <c r="C53" s="5" t="s">
        <v>115</v>
      </c>
      <c r="D53" s="3" t="s">
        <v>2</v>
      </c>
      <c r="E53" s="3" t="s">
        <v>3</v>
      </c>
      <c r="F53" s="3" t="s">
        <v>17</v>
      </c>
      <c r="G53" s="3" t="str">
        <f>HYPERLINK("https://app.newtonmedia.eu/cs/monitoring/OP-24-0857/5bb25fa7-79d9-46df-9a0a-975f8b01f74f/search/7702740/articles/680111320")</f>
        <v>https://app.newtonmedia.eu/cs/monitoring/OP-24-0857/5bb25fa7-79d9-46df-9a0a-975f8b01f74f/search/7702740/articles/680111320</v>
      </c>
      <c r="H53" s="3" t="str">
        <f>HYPERLINK("")</f>
        <v/>
      </c>
    </row>
    <row r="54" spans="1:8" x14ac:dyDescent="0.2">
      <c r="A54" s="4">
        <v>46036</v>
      </c>
      <c r="B54" s="8" t="s">
        <v>168</v>
      </c>
      <c r="C54" s="5" t="s">
        <v>114</v>
      </c>
      <c r="D54" s="3" t="s">
        <v>15</v>
      </c>
      <c r="E54" s="3" t="s">
        <v>3</v>
      </c>
      <c r="F54" s="3" t="s">
        <v>16</v>
      </c>
      <c r="G54" s="3" t="str">
        <f>HYPERLINK("https://app.newtonmedia.eu/cs/monitoring/OP-24-0857/5bb25fa7-79d9-46df-9a0a-975f8b01f74f/search/7702740/articles/680550004")</f>
        <v>https://app.newtonmedia.eu/cs/monitoring/OP-24-0857/5bb25fa7-79d9-46df-9a0a-975f8b01f74f/search/7702740/articles/680550004</v>
      </c>
      <c r="H54" s="3" t="str">
        <f>HYPERLINK("")</f>
        <v/>
      </c>
    </row>
    <row r="55" spans="1:8" x14ac:dyDescent="0.2">
      <c r="A55" s="4">
        <v>46045.402048611097</v>
      </c>
      <c r="B55" s="8" t="s">
        <v>167</v>
      </c>
      <c r="C55" s="5" t="s">
        <v>113</v>
      </c>
      <c r="D55" s="3" t="s">
        <v>13</v>
      </c>
      <c r="E55" s="3" t="s">
        <v>6</v>
      </c>
      <c r="F55" s="3" t="s">
        <v>14</v>
      </c>
      <c r="G55" s="3" t="str">
        <f>HYPERLINK("https://app.newtonmedia.eu/cs/monitoring/OP-24-0857/5bb25fa7-79d9-46df-9a0a-975f8b01f74f/search/7702740/articles/688871744")</f>
        <v>https://app.newtonmedia.eu/cs/monitoring/OP-24-0857/5bb25fa7-79d9-46df-9a0a-975f8b01f74f/search/7702740/articles/688871744</v>
      </c>
      <c r="H55" s="3" t="str">
        <f>HYPERLINK("https://www.universitas.cz/aktuality/13459-uz-vim-jake-to-je-objevit-poklad")</f>
        <v>https://www.universitas.cz/aktuality/13459-uz-vim-jake-to-je-objevit-poklad</v>
      </c>
    </row>
    <row r="56" spans="1:8" x14ac:dyDescent="0.2">
      <c r="A56" s="4">
        <v>46050.430312500001</v>
      </c>
      <c r="B56" s="8" t="s">
        <v>166</v>
      </c>
      <c r="C56" s="5" t="s">
        <v>112</v>
      </c>
      <c r="D56" s="3" t="s">
        <v>11</v>
      </c>
      <c r="E56" s="3" t="s">
        <v>6</v>
      </c>
      <c r="F56" s="3" t="s">
        <v>12</v>
      </c>
      <c r="G56" s="3" t="str">
        <f>HYPERLINK("https://app.newtonmedia.eu/cs/monitoring/OP-24-0857/5bb25fa7-79d9-46df-9a0a-975f8b01f74f/search/7702740/articles/693286748")</f>
        <v>https://app.newtonmedia.eu/cs/monitoring/OP-24-0857/5bb25fa7-79d9-46df-9a0a-975f8b01f74f/search/7702740/articles/693286748</v>
      </c>
      <c r="H56" s="3" t="str">
        <f>HYPERLINK("https://www.propamatky.cz/zpravodajstvi/56315-objev-polodrahokamu-v-barokni-umele-jeskyni-kromerizskeho-zamku")</f>
        <v>https://www.propamatky.cz/zpravodajstvi/56315-objev-polodrahokamu-v-barokni-umele-jeskyni-kromerizskeho-zamku</v>
      </c>
    </row>
    <row r="57" spans="1:8" x14ac:dyDescent="0.2">
      <c r="A57" s="4">
        <v>46070.409456018497</v>
      </c>
      <c r="B57" s="8" t="s">
        <v>165</v>
      </c>
      <c r="C57" s="5" t="s">
        <v>111</v>
      </c>
      <c r="D57" s="3" t="s">
        <v>8</v>
      </c>
      <c r="E57" s="3" t="s">
        <v>6</v>
      </c>
      <c r="F57" s="3" t="s">
        <v>10</v>
      </c>
      <c r="G57" s="3" t="str">
        <f>HYPERLINK("https://app.newtonmedia.eu/cs/monitoring/OP-24-0857/5bb25fa7-79d9-46df-9a0a-975f8b01f74f/search/7702740/articles/712179616")</f>
        <v>https://app.newtonmedia.eu/cs/monitoring/OP-24-0857/5bb25fa7-79d9-46df-9a0a-975f8b01f74f/search/7702740/articles/712179616</v>
      </c>
      <c r="H57" s="3" t="str">
        <f>HYPERLINK("https://www.cirkev.cz/veda-v-praxi-ametystove-grotty-arcibiskupskeho-zamku-v-kromerizi_67470")</f>
        <v>https://www.cirkev.cz/veda-v-praxi-ametystove-grotty-arcibiskupskeho-zamku-v-kromerizi_67470</v>
      </c>
    </row>
    <row r="58" spans="1:8" x14ac:dyDescent="0.2">
      <c r="A58" s="4">
        <v>46070.466261574104</v>
      </c>
      <c r="B58" s="8" t="s">
        <v>164</v>
      </c>
      <c r="C58" s="5" t="s">
        <v>110</v>
      </c>
      <c r="D58" s="3" t="s">
        <v>8</v>
      </c>
      <c r="E58" s="3" t="s">
        <v>6</v>
      </c>
      <c r="F58" s="3" t="s">
        <v>9</v>
      </c>
      <c r="G58" s="3" t="str">
        <f>HYPERLINK("https://app.newtonmedia.eu/cs/monitoring/OP-24-0857/5bb25fa7-79d9-46df-9a0a-975f8b01f74f/search/7702740/articles/712254395")</f>
        <v>https://app.newtonmedia.eu/cs/monitoring/OP-24-0857/5bb25fa7-79d9-46df-9a0a-975f8b01f74f/search/7702740/articles/712254395</v>
      </c>
      <c r="H58" s="3" t="str">
        <f>HYPERLINK("https://www.cirkev.cz/apollonova-grotta-pod-lesenim-zacina-dalsi-faze-zachrany-svetoveho-unikatu_67474")</f>
        <v>https://www.cirkev.cz/apollonova-grotta-pod-lesenim-zacina-dalsi-faze-zachrany-svetoveho-unikatu_67474</v>
      </c>
    </row>
    <row r="59" spans="1:8" x14ac:dyDescent="0.2">
      <c r="A59" s="4">
        <v>46077.008125</v>
      </c>
      <c r="B59" s="8" t="s">
        <v>163</v>
      </c>
      <c r="C59" s="5" t="s">
        <v>109</v>
      </c>
      <c r="D59" s="3" t="s">
        <v>5</v>
      </c>
      <c r="E59" s="3" t="s">
        <v>6</v>
      </c>
      <c r="F59" s="3" t="s">
        <v>7</v>
      </c>
      <c r="G59" s="3" t="str">
        <f>HYPERLINK("https://app.newtonmedia.eu/cs/monitoring/OP-24-0857/5bb25fa7-79d9-46df-9a0a-975f8b01f74f/search/7702740/articles/719491039")</f>
        <v>https://app.newtonmedia.eu/cs/monitoring/OP-24-0857/5bb25fa7-79d9-46df-9a0a-975f8b01f74f/search/7702740/articles/719491039</v>
      </c>
      <c r="H59" s="3" t="str">
        <f>HYPERLINK("https://www.jsemzolomouce.cz/eventdetail.aspx?id=214499")</f>
        <v>https://www.jsemzolomouce.cz/eventdetail.aspx?id=214499</v>
      </c>
    </row>
    <row r="60" spans="1:8" x14ac:dyDescent="0.2">
      <c r="A60" s="4">
        <v>46084</v>
      </c>
      <c r="B60" s="8" t="s">
        <v>162</v>
      </c>
      <c r="C60" s="5" t="s">
        <v>108</v>
      </c>
      <c r="D60" s="3" t="s">
        <v>2</v>
      </c>
      <c r="E60" s="3" t="s">
        <v>3</v>
      </c>
      <c r="F60" s="3" t="s">
        <v>4</v>
      </c>
      <c r="G60" s="3" t="str">
        <f>HYPERLINK("https://app.newtonmedia.eu/cs/monitoring/OP-24-0857/5bb25fa7-79d9-46df-9a0a-975f8b01f74f/search/7702740/articles/725769273")</f>
        <v>https://app.newtonmedia.eu/cs/monitoring/OP-24-0857/5bb25fa7-79d9-46df-9a0a-975f8b01f74f/search/7702740/articles/725769273</v>
      </c>
      <c r="H60" s="3" t="str">
        <f>HYPERLINK("")</f>
        <v/>
      </c>
    </row>
  </sheetData>
  <autoFilter ref="A1:H60" xr:uid="{00000000-0009-0000-0000-000000000000}">
    <sortState xmlns:xlrd2="http://schemas.microsoft.com/office/spreadsheetml/2017/richdata2" ref="A2:H60">
      <sortCondition ref="A1:A60"/>
    </sortState>
  </autoFilter>
  <pageMargins left="0.75" right="0.75" top="0.75" bottom="0.5" header="0.5" footer="0.7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Standard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Zapletalova Jana</cp:lastModifiedBy>
  <dcterms:created xsi:type="dcterms:W3CDTF">2026-03-18T08:29:09Z</dcterms:created>
  <dcterms:modified xsi:type="dcterms:W3CDTF">2026-03-19T06:06:39Z</dcterms:modified>
</cp:coreProperties>
</file>